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7470" windowHeight="2700" activeTab="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1980 thru 2012" sheetId="9" r:id="rId6"/>
    <sheet name="CHART" sheetId="10" r:id="rId7"/>
  </sheets>
  <calcPr calcId="145621"/>
</workbook>
</file>

<file path=xl/calcChain.xml><?xml version="1.0" encoding="utf-8"?>
<calcChain xmlns="http://schemas.openxmlformats.org/spreadsheetml/2006/main">
  <c r="D59" i="10" l="1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O19" i="9" l="1"/>
  <c r="O18" i="9"/>
  <c r="O17" i="9"/>
  <c r="O16" i="9"/>
  <c r="O15" i="9"/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P8" i="1"/>
  <c r="P7" i="1"/>
  <c r="P6" i="1"/>
  <c r="P5" i="1"/>
  <c r="P4" i="1"/>
  <c r="P3" i="1"/>
  <c r="P2" i="1"/>
  <c r="P51" i="2"/>
  <c r="P50" i="2"/>
  <c r="P49" i="2"/>
  <c r="P46" i="2"/>
  <c r="P45" i="2"/>
  <c r="P42" i="2"/>
  <c r="P41" i="2"/>
  <c r="P40" i="2"/>
  <c r="P38" i="2"/>
  <c r="P37" i="2"/>
  <c r="P35" i="2"/>
  <c r="P34" i="2"/>
  <c r="P33" i="2"/>
  <c r="P32" i="2"/>
  <c r="P31" i="2"/>
  <c r="P30" i="2"/>
  <c r="P28" i="2"/>
  <c r="P27" i="2"/>
  <c r="P24" i="2"/>
  <c r="P22" i="2"/>
  <c r="P20" i="2"/>
  <c r="P18" i="2"/>
  <c r="P17" i="2"/>
  <c r="P16" i="2"/>
  <c r="P14" i="2"/>
  <c r="P13" i="2"/>
  <c r="P12" i="2"/>
  <c r="P9" i="2"/>
  <c r="P8" i="2"/>
  <c r="P7" i="2"/>
  <c r="P6" i="2"/>
  <c r="P3" i="2"/>
  <c r="P2" i="2" l="1"/>
  <c r="M53" i="5"/>
  <c r="L53" i="5"/>
  <c r="K53" i="5"/>
  <c r="M53" i="1"/>
  <c r="L53" i="1"/>
  <c r="K53" i="1"/>
  <c r="M53" i="3"/>
  <c r="L53" i="3"/>
  <c r="K53" i="3"/>
  <c r="M53" i="4"/>
  <c r="L53" i="4"/>
  <c r="K53" i="4"/>
  <c r="Q51" i="3" l="1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9" i="2"/>
  <c r="Q8" i="2"/>
  <c r="Q7" i="2"/>
  <c r="Q6" i="2"/>
  <c r="Q5" i="2"/>
  <c r="Q4" i="2"/>
  <c r="Q3" i="2"/>
  <c r="Q2" i="2"/>
  <c r="P36" i="5" l="1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Q11" i="1"/>
  <c r="P18" i="5"/>
  <c r="P17" i="5"/>
  <c r="P16" i="5"/>
  <c r="P15" i="5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9" i="1"/>
  <c r="Q8" i="1"/>
  <c r="Q7" i="1"/>
  <c r="Q6" i="1"/>
  <c r="Q5" i="1"/>
  <c r="P14" i="5"/>
  <c r="P13" i="5"/>
  <c r="P11" i="5"/>
  <c r="P9" i="5"/>
  <c r="P8" i="5"/>
  <c r="P7" i="5"/>
  <c r="P6" i="5"/>
  <c r="Q4" i="1"/>
  <c r="Q3" i="1"/>
  <c r="Q2" i="1"/>
  <c r="P5" i="5"/>
  <c r="P4" i="5"/>
  <c r="L36" i="5" l="1"/>
  <c r="K36" i="5"/>
  <c r="M33" i="5"/>
  <c r="L34" i="5" l="1"/>
  <c r="K34" i="5"/>
  <c r="M34" i="5" s="1"/>
  <c r="K31" i="5"/>
  <c r="L29" i="5"/>
  <c r="K29" i="5"/>
  <c r="L26" i="5"/>
  <c r="K26" i="5"/>
  <c r="K23" i="5"/>
  <c r="L11" i="5" l="1"/>
  <c r="K11" i="5"/>
  <c r="M7" i="5"/>
  <c r="L6" i="5"/>
  <c r="K6" i="5"/>
  <c r="L4" i="5" l="1"/>
  <c r="K4" i="5"/>
  <c r="L44" i="4" l="1"/>
  <c r="K44" i="4"/>
  <c r="M49" i="4"/>
  <c r="K49" i="4"/>
  <c r="L48" i="4"/>
  <c r="K48" i="4"/>
  <c r="M47" i="4"/>
  <c r="L47" i="4"/>
  <c r="K47" i="4"/>
  <c r="L43" i="4"/>
  <c r="M43" i="4" s="1"/>
  <c r="K43" i="4"/>
  <c r="L41" i="4"/>
  <c r="K41" i="4"/>
  <c r="M41" i="4" s="1"/>
  <c r="L39" i="4"/>
  <c r="K39" i="4"/>
  <c r="M39" i="4" s="1"/>
  <c r="L37" i="4"/>
  <c r="K37" i="4"/>
  <c r="L36" i="4"/>
  <c r="K36" i="4"/>
  <c r="M36" i="4" s="1"/>
  <c r="L34" i="4"/>
  <c r="K34" i="4"/>
  <c r="M34" i="4" s="1"/>
  <c r="L33" i="4"/>
  <c r="K33" i="4"/>
  <c r="L32" i="4"/>
  <c r="K32" i="4"/>
  <c r="K31" i="4"/>
  <c r="M29" i="4"/>
  <c r="K25" i="4"/>
  <c r="M25" i="4" s="1"/>
  <c r="L26" i="4"/>
  <c r="K26" i="4"/>
  <c r="K24" i="4"/>
  <c r="L23" i="4"/>
  <c r="K23" i="4"/>
  <c r="K21" i="4" l="1"/>
  <c r="L19" i="4"/>
  <c r="K19" i="4"/>
  <c r="L17" i="4"/>
  <c r="K17" i="4"/>
  <c r="K15" i="4"/>
  <c r="L15" i="4"/>
  <c r="L11" i="4"/>
  <c r="K11" i="4"/>
  <c r="L6" i="4"/>
  <c r="K6" i="4"/>
  <c r="L44" i="3"/>
  <c r="K44" i="3"/>
  <c r="M44" i="3" s="1"/>
  <c r="M48" i="3"/>
  <c r="L48" i="3"/>
  <c r="K48" i="3"/>
  <c r="M47" i="3"/>
  <c r="L47" i="3"/>
  <c r="K47" i="3"/>
  <c r="L43" i="3"/>
  <c r="K43" i="3"/>
  <c r="M43" i="3" s="1"/>
  <c r="L41" i="3"/>
  <c r="K41" i="3"/>
  <c r="M39" i="3"/>
  <c r="L39" i="3"/>
  <c r="K39" i="3"/>
  <c r="K37" i="3"/>
  <c r="L36" i="3"/>
  <c r="K36" i="3"/>
  <c r="L34" i="3"/>
  <c r="K34" i="3"/>
  <c r="M34" i="3" s="1"/>
  <c r="L33" i="3"/>
  <c r="K33" i="3"/>
  <c r="L31" i="3"/>
  <c r="K31" i="3"/>
  <c r="K29" i="3"/>
  <c r="K26" i="3"/>
  <c r="K24" i="3"/>
  <c r="L23" i="3"/>
  <c r="K23" i="3"/>
  <c r="L11" i="3"/>
  <c r="K11" i="3"/>
  <c r="K6" i="3"/>
  <c r="M6" i="3" s="1"/>
  <c r="L6" i="3"/>
  <c r="K4" i="3"/>
  <c r="M2" i="3"/>
  <c r="L44" i="2"/>
  <c r="K44" i="2"/>
  <c r="P44" i="2" s="1"/>
  <c r="L48" i="2"/>
  <c r="K48" i="2"/>
  <c r="P48" i="2" s="1"/>
  <c r="K47" i="2"/>
  <c r="P47" i="2" s="1"/>
  <c r="K43" i="2"/>
  <c r="P43" i="2" s="1"/>
  <c r="L39" i="2"/>
  <c r="K39" i="2"/>
  <c r="P39" i="2" s="1"/>
  <c r="L37" i="2"/>
  <c r="K37" i="2"/>
  <c r="L36" i="2"/>
  <c r="K36" i="2"/>
  <c r="K29" i="2"/>
  <c r="P29" i="2" s="1"/>
  <c r="L26" i="2"/>
  <c r="K26" i="2"/>
  <c r="P26" i="2" s="1"/>
  <c r="L25" i="2"/>
  <c r="K25" i="2"/>
  <c r="P25" i="2" s="1"/>
  <c r="L23" i="2"/>
  <c r="K23" i="2"/>
  <c r="P23" i="2" s="1"/>
  <c r="L21" i="2"/>
  <c r="K21" i="2"/>
  <c r="P21" i="2" s="1"/>
  <c r="L19" i="2"/>
  <c r="K19" i="2"/>
  <c r="M18" i="2"/>
  <c r="L15" i="2"/>
  <c r="K15" i="2"/>
  <c r="P15" i="2" s="1"/>
  <c r="M14" i="2"/>
  <c r="L11" i="2"/>
  <c r="K11" i="2"/>
  <c r="M7" i="2"/>
  <c r="L6" i="2"/>
  <c r="K5" i="2"/>
  <c r="P5" i="2" s="1"/>
  <c r="L5" i="2"/>
  <c r="K4" i="2"/>
  <c r="L53" i="2" l="1"/>
  <c r="P4" i="2"/>
  <c r="K53" i="2"/>
  <c r="M19" i="2"/>
  <c r="P19" i="2"/>
  <c r="M11" i="2"/>
  <c r="M53" i="2" s="1"/>
  <c r="P11" i="2"/>
  <c r="M36" i="2"/>
  <c r="P36" i="2"/>
</calcChain>
</file>

<file path=xl/sharedStrings.xml><?xml version="1.0" encoding="utf-8"?>
<sst xmlns="http://schemas.openxmlformats.org/spreadsheetml/2006/main" count="607" uniqueCount="166">
  <si>
    <t>Female total</t>
  </si>
  <si>
    <t>Male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</si>
  <si>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</si>
  <si>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</si>
  <si>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</si>
  <si>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</si>
  <si>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</si>
  <si>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</si>
  <si>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</si>
  <si>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</si>
  <si>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</si>
  <si>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</si>
  <si>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</si>
  <si>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</si>
  <si>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</si>
  <si>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</si>
  <si>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</si>
  <si>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</si>
  <si>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</si>
  <si>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</si>
  <si>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</si>
  <si>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</si>
  <si>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</si>
  <si>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</si>
  <si>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</si>
  <si>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</si>
  <si>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</si>
  <si>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</si>
  <si>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</si>
  <si>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</si>
  <si>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</si>
  <si>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</si>
  <si>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</si>
  <si>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</si>
  <si>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</si>
  <si>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</si>
  <si>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</si>
  <si>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</si>
  <si>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</si>
  <si>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</si>
  <si>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</si>
  <si>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</si>
  <si>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</si>
  <si>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</si>
  <si>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</si>
  <si>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</si>
  <si>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</si>
  <si>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</si>
  <si>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</si>
  <si>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</si>
  <si>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GF</t>
  </si>
  <si>
    <t>BF</t>
  </si>
  <si>
    <t>HU</t>
  </si>
  <si>
    <t>WI</t>
  </si>
  <si>
    <t>XH</t>
  </si>
  <si>
    <t>XW</t>
  </si>
  <si>
    <t>HO</t>
  </si>
  <si>
    <t>CH</t>
  </si>
  <si>
    <t>CW</t>
  </si>
  <si>
    <t>Massachusetts</t>
  </si>
  <si>
    <t>STATE/RELATIONSHIP</t>
  </si>
  <si>
    <t>Total Homicides</t>
  </si>
  <si>
    <t>N/A</t>
  </si>
  <si>
    <t>&gt;&gt;</t>
  </si>
  <si>
    <t>Friends (not in totals)</t>
  </si>
  <si>
    <t>6 (M)</t>
  </si>
  <si>
    <t>3 (2M,1F)</t>
  </si>
  <si>
    <t>16 (15M/1F)</t>
  </si>
  <si>
    <t>2 (M)</t>
  </si>
  <si>
    <t>2(M)</t>
  </si>
  <si>
    <t>3 (M)</t>
  </si>
  <si>
    <t>6 (3M/3F)</t>
  </si>
  <si>
    <t>9 (M)</t>
  </si>
  <si>
    <t>94 (80M/14F)</t>
  </si>
  <si>
    <t>13 (11M/2F)</t>
  </si>
  <si>
    <t>10 (M)</t>
  </si>
  <si>
    <t>14 (M)</t>
  </si>
  <si>
    <t>15 (9M/4F)</t>
  </si>
  <si>
    <t xml:space="preserve">Virginia </t>
  </si>
  <si>
    <t>8 (M)</t>
  </si>
  <si>
    <t>1 (M)</t>
  </si>
  <si>
    <t>1(M)</t>
  </si>
  <si>
    <t>9 (7M/2F)</t>
  </si>
  <si>
    <t>32 (31M/1F)</t>
  </si>
  <si>
    <t>7 (M)</t>
  </si>
  <si>
    <t>9 (8M/1F)</t>
  </si>
  <si>
    <t>16 (M)</t>
  </si>
  <si>
    <t>34 (31M/3F)</t>
  </si>
  <si>
    <t>4 (M)</t>
  </si>
  <si>
    <t>11 (8M/3F)</t>
  </si>
  <si>
    <t>6 (5M/1F)</t>
  </si>
  <si>
    <t>5 (3M/2F)</t>
  </si>
  <si>
    <t>5 (M)</t>
  </si>
  <si>
    <t>3 (2M/1F)</t>
  </si>
  <si>
    <t>20 (16M/4F)</t>
  </si>
  <si>
    <t>8 (6M/2F)</t>
  </si>
  <si>
    <t>14 (12M/2F)</t>
  </si>
  <si>
    <t>124 (115M/9F)</t>
  </si>
  <si>
    <t>11 (10M/1F)</t>
  </si>
  <si>
    <t>21 (19M/2F)</t>
  </si>
  <si>
    <t>Virginia</t>
  </si>
  <si>
    <t>2 (1M/1F)</t>
  </si>
  <si>
    <t>3 (1M/2F)</t>
  </si>
  <si>
    <t>6 (4M/2F)</t>
  </si>
  <si>
    <t>35 (32M/3F)</t>
  </si>
  <si>
    <t>15 (12M/3F)</t>
  </si>
  <si>
    <t>38(33M/5F)</t>
  </si>
  <si>
    <t>15 (14M/1F)</t>
  </si>
  <si>
    <t>8 (7M/1F)</t>
  </si>
  <si>
    <t>12 (10M/2F)</t>
  </si>
  <si>
    <t>1 (F)</t>
  </si>
  <si>
    <t>4 (3M/1F)</t>
  </si>
  <si>
    <t>7 (5M/2F)</t>
  </si>
  <si>
    <t>112 (97M/15F)</t>
  </si>
  <si>
    <t>13 (12M/1F)</t>
  </si>
  <si>
    <t>10 (8M/2F)</t>
  </si>
  <si>
    <t>5 (4M/1F)</t>
  </si>
  <si>
    <t>17 (16M/1F)</t>
  </si>
  <si>
    <t>11 (7M/4F)</t>
  </si>
  <si>
    <t>29 (26M/3F)</t>
  </si>
  <si>
    <t>19 (18M/1F)</t>
  </si>
  <si>
    <t>38 (33M/5F)</t>
  </si>
  <si>
    <t>7 (4M/3F)</t>
  </si>
  <si>
    <t>14 (10M/4F)</t>
  </si>
  <si>
    <t>Total Population</t>
  </si>
  <si>
    <t>Homicide rate/million</t>
  </si>
  <si>
    <t>97 (77M/20F)</t>
  </si>
  <si>
    <t>14 (11M/3F)</t>
  </si>
  <si>
    <t>16 (14M/2F)</t>
  </si>
  <si>
    <t>10 (6M/4F)</t>
  </si>
  <si>
    <t>44 (39M/5F)</t>
  </si>
  <si>
    <t>incomplete data</t>
  </si>
  <si>
    <t>12 (11M/1F)</t>
  </si>
  <si>
    <t>44 (37M/7F)</t>
  </si>
  <si>
    <t>22 (20M/2F)</t>
  </si>
  <si>
    <t>4 (2M/2F)</t>
  </si>
  <si>
    <t>45 (35M/10F)</t>
  </si>
  <si>
    <t>11 (M)</t>
  </si>
  <si>
    <t>73 (72M/1F)</t>
  </si>
  <si>
    <t>10 (7M/3F)</t>
  </si>
  <si>
    <t>TOTALS</t>
  </si>
  <si>
    <t>WOMEN hom rate</t>
  </si>
  <si>
    <t>FEM hom per mil</t>
  </si>
  <si>
    <t>children per year stat from NICOLE ASAP</t>
  </si>
  <si>
    <t>TOTAL</t>
  </si>
  <si>
    <t>NICOLE'S NUMBERS</t>
  </si>
  <si>
    <t>Numbers from FBI online report</t>
  </si>
  <si>
    <t>FEMALES</t>
  </si>
  <si>
    <t>MALES</t>
  </si>
  <si>
    <t>UNABLE TO GET STATS BEFORE 1995 ONLINE AT FBI WEBSITE</t>
  </si>
  <si>
    <t>ALL STATISTICS ARE FROM FBI UNIFORM CRIME REPORTS</t>
  </si>
  <si>
    <t>available online at www.fbi.gov</t>
  </si>
  <si>
    <t>we are using these statistics as breakouts</t>
  </si>
  <si>
    <t>for each state chart comparison 2008-2012</t>
  </si>
  <si>
    <t>NOT the actual numbers from FBI website</t>
  </si>
  <si>
    <t>stats from RESULTS SW book, pages 13 + 14</t>
  </si>
  <si>
    <t>NOTE:  The relationship categories of husband and wife include both common-law and ex-spouses</t>
  </si>
  <si>
    <t>CRITERIA:  Wife, girlfriend, husband, boyfriend ONLY</t>
  </si>
  <si>
    <t xml:space="preserve"> </t>
  </si>
  <si>
    <t>Year</t>
  </si>
  <si>
    <t>Women</t>
  </si>
  <si>
    <t>US population</t>
  </si>
  <si>
    <t>Murdered</t>
  </si>
  <si>
    <t>in millions</t>
  </si>
  <si>
    <t>Murders/</t>
  </si>
  <si>
    <t>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</si>
</sst>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101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3" fontId="5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3" fillId="0" borderId="1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3" fillId="0" borderId="5" xfId="0" applyFont="1" applyFill="1" applyBorder="1"/>
    <xf numFmtId="0" fontId="0" fillId="0" borderId="5" xfId="0" applyBorder="1" applyAlignment="1">
      <alignment horizontal="center"/>
    </xf>
    <xf numFmtId="0" fontId="3" fillId="0" borderId="6" xfId="0" applyFont="1" applyFill="1" applyBorder="1"/>
    <xf numFmtId="0" fontId="1" fillId="0" borderId="0" xfId="0" applyFont="1"/>
    <xf numFmtId="0" fontId="1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0" fillId="0" borderId="1" xfId="2" quotePrefix="1" applyNumberFormat="1" applyFont="1" applyBorder="1" applyAlignment="1" applyProtection="1">
      <alignment horizontal="center"/>
      <protection locked="0"/>
    </xf>
    <xf numFmtId="2" fontId="11" fillId="0" borderId="4" xfId="0" applyNumberFormat="1" applyFont="1" applyBorder="1" applyAlignment="1">
      <alignment horizontal="center"/>
    </xf>
    <xf numFmtId="2" fontId="10" fillId="0" borderId="4" xfId="2" quotePrefix="1" applyNumberFormat="1" applyFont="1" applyBorder="1" applyAlignment="1" applyProtection="1">
      <alignment horizontal="center"/>
      <protection locked="0"/>
    </xf>
    <xf numFmtId="2" fontId="10" fillId="0" borderId="0" xfId="2" quotePrefix="1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1" xfId="1" applyNumberFormat="1" applyFont="1" applyFill="1" applyBorder="1" applyAlignment="1" applyProtection="1">
      <alignment horizontal="right"/>
    </xf>
    <xf numFmtId="2" fontId="5" fillId="0" borderId="1" xfId="0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 applyProtection="1">
      <alignment horizontal="right"/>
    </xf>
    <xf numFmtId="2" fontId="6" fillId="0" borderId="0" xfId="1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4" fillId="0" borderId="0" xfId="0" applyFont="1"/>
    <xf numFmtId="0" fontId="1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0" fillId="2" borderId="0" xfId="0" applyFill="1"/>
    <xf numFmtId="0" fontId="13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20 Years</a:t>
            </a:r>
            <a:r>
              <a:rPr lang="en-US" b="1" baseline="0">
                <a:solidFill>
                  <a:srgbClr val="FF0000"/>
                </a:solidFill>
              </a:rPr>
              <a:t> of </a:t>
            </a:r>
            <a:r>
              <a:rPr lang="en-US" b="1">
                <a:solidFill>
                  <a:srgbClr val="FF0000"/>
                </a:solidFill>
              </a:rPr>
              <a:t>US</a:t>
            </a:r>
            <a:r>
              <a:rPr lang="en-US" b="1" baseline="0">
                <a:solidFill>
                  <a:srgbClr val="FF0000"/>
                </a:solidFill>
              </a:rPr>
              <a:t> Domestic Violence Homicides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rgbClr val="FF0000"/>
                </a:solidFill>
              </a:rPr>
              <a:t>1993 - 2012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rgbClr val="FF0000"/>
                </a:solidFill>
              </a:rPr>
              <a:t>as reported in FBI annual Uniform Crime Reports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1" baseline="0">
                <a:solidFill>
                  <a:schemeClr val="tx1"/>
                </a:solidFill>
              </a:rPr>
              <a:t>(victims include wife, ex-wife, girlfriend and husband, ex-husband, boyfriend</a:t>
            </a:r>
            <a:r>
              <a:rPr lang="en-US" baseline="0">
                <a:solidFill>
                  <a:schemeClr val="tx1"/>
                </a:solidFill>
              </a:rPr>
              <a:t>).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 thru 2012'!$B$1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'1980 thru 2012'!$A$2:$A$24</c:f>
              <c:numCache>
                <c:formatCode>General</c:formatCode>
                <c:ptCount val="2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'1980 thru 2012'!$B$2:$B$24</c:f>
              <c:numCache>
                <c:formatCode>General</c:formatCode>
                <c:ptCount val="23"/>
                <c:pt idx="0">
                  <c:v>1549</c:v>
                </c:pt>
                <c:pt idx="1">
                  <c:v>1546</c:v>
                </c:pt>
                <c:pt idx="2">
                  <c:v>1501</c:v>
                </c:pt>
                <c:pt idx="3">
                  <c:v>1581</c:v>
                </c:pt>
                <c:pt idx="4">
                  <c:v>1405</c:v>
                </c:pt>
                <c:pt idx="5">
                  <c:v>1321</c:v>
                </c:pt>
                <c:pt idx="6">
                  <c:v>1324</c:v>
                </c:pt>
                <c:pt idx="7">
                  <c:v>1174</c:v>
                </c:pt>
                <c:pt idx="8">
                  <c:v>1078</c:v>
                </c:pt>
                <c:pt idx="9">
                  <c:v>974</c:v>
                </c:pt>
                <c:pt idx="10">
                  <c:v>1015</c:v>
                </c:pt>
                <c:pt idx="11">
                  <c:v>1034</c:v>
                </c:pt>
                <c:pt idx="12">
                  <c:v>1045</c:v>
                </c:pt>
                <c:pt idx="13">
                  <c:v>1037</c:v>
                </c:pt>
                <c:pt idx="14">
                  <c:v>1024</c:v>
                </c:pt>
                <c:pt idx="15">
                  <c:v>1055</c:v>
                </c:pt>
                <c:pt idx="16">
                  <c:v>1017</c:v>
                </c:pt>
                <c:pt idx="17">
                  <c:v>1044</c:v>
                </c:pt>
                <c:pt idx="18">
                  <c:v>1069</c:v>
                </c:pt>
                <c:pt idx="19">
                  <c:v>1081</c:v>
                </c:pt>
                <c:pt idx="20">
                  <c:v>1095</c:v>
                </c:pt>
                <c:pt idx="21">
                  <c:v>1026</c:v>
                </c:pt>
                <c:pt idx="22">
                  <c:v>992</c:v>
                </c:pt>
              </c:numCache>
            </c:numRef>
          </c:val>
        </c:ser>
        <c:ser>
          <c:idx val="1"/>
          <c:order val="1"/>
          <c:tx>
            <c:strRef>
              <c:f>'1980 thru 2012'!$C$1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'1980 thru 2012'!$A$2:$A$24</c:f>
              <c:numCache>
                <c:formatCode>General</c:formatCode>
                <c:ptCount val="23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'1980 thru 2012'!$C$2:$C$24</c:f>
              <c:numCache>
                <c:formatCode>General</c:formatCode>
                <c:ptCount val="23"/>
                <c:pt idx="0">
                  <c:v>1221</c:v>
                </c:pt>
                <c:pt idx="1">
                  <c:v>957</c:v>
                </c:pt>
                <c:pt idx="2">
                  <c:v>859</c:v>
                </c:pt>
                <c:pt idx="3">
                  <c:v>708</c:v>
                </c:pt>
                <c:pt idx="4">
                  <c:v>692</c:v>
                </c:pt>
                <c:pt idx="5">
                  <c:v>547</c:v>
                </c:pt>
                <c:pt idx="6">
                  <c:v>515</c:v>
                </c:pt>
                <c:pt idx="7">
                  <c:v>430</c:v>
                </c:pt>
                <c:pt idx="8">
                  <c:v>372</c:v>
                </c:pt>
                <c:pt idx="9">
                  <c:v>300</c:v>
                </c:pt>
                <c:pt idx="10">
                  <c:v>315</c:v>
                </c:pt>
                <c:pt idx="11">
                  <c:v>295</c:v>
                </c:pt>
                <c:pt idx="12">
                  <c:v>287</c:v>
                </c:pt>
                <c:pt idx="13">
                  <c:v>283</c:v>
                </c:pt>
                <c:pt idx="14">
                  <c:v>296</c:v>
                </c:pt>
                <c:pt idx="15">
                  <c:v>287</c:v>
                </c:pt>
                <c:pt idx="16">
                  <c:v>273</c:v>
                </c:pt>
                <c:pt idx="17">
                  <c:v>288</c:v>
                </c:pt>
                <c:pt idx="18">
                  <c:v>264</c:v>
                </c:pt>
                <c:pt idx="19">
                  <c:v>279</c:v>
                </c:pt>
                <c:pt idx="20">
                  <c:v>241</c:v>
                </c:pt>
                <c:pt idx="21">
                  <c:v>269</c:v>
                </c:pt>
                <c:pt idx="22">
                  <c:v>264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466880"/>
        <c:axId val="101468416"/>
      </c:barChart>
      <c:catAx>
        <c:axId val="1014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68416"/>
        <c:crosses val="autoZero"/>
        <c:auto val="1"/>
        <c:lblAlgn val="ctr"/>
        <c:lblOffset val="100"/>
        <c:noMultiLvlLbl val="0"/>
      </c:catAx>
      <c:valAx>
        <c:axId val="10146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542925</xdr:colOff>
      <xdr:row>29</xdr:row>
      <xdr:rowOff>109538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29" zoomScale="85" zoomScaleNormal="85" workbookViewId="0">
      <selection activeCell="K53" sqref="K53"/>
    </sheetView>
  </sheetViews>
  <sheetFormatPr defaultRowHeight="15" x14ac:dyDescent="0.25"/>
  <cols>
    <col min="1" max="1" width="20.140625" bestFit="1" customWidth="1"/>
    <col min="2" max="2" width="3.7109375" customWidth="1"/>
    <col min="3" max="3" width="3.5703125" customWidth="1"/>
    <col min="4" max="4" width="3.42578125" customWidth="1"/>
    <col min="5" max="5" width="4.140625" customWidth="1"/>
    <col min="6" max="6" width="3.42578125" customWidth="1"/>
    <col min="7" max="7" width="3.140625" customWidth="1"/>
    <col min="8" max="8" width="3.7109375" customWidth="1"/>
    <col min="9" max="9" width="3.42578125" customWidth="1"/>
    <col min="10" max="10" width="4.140625" customWidth="1"/>
    <col min="11" max="11" width="12.140625" style="5" customWidth="1"/>
    <col min="12" max="12" width="10" style="5" customWidth="1"/>
    <col min="13" max="13" width="20.42578125" style="5" customWidth="1"/>
    <col min="14" max="14" width="20.85546875" style="6" customWidth="1"/>
    <col min="15" max="15" width="15.7109375" style="24" customWidth="1"/>
    <col min="16" max="16" width="15.7109375" style="39" customWidth="1"/>
    <col min="17" max="17" width="20.85546875" style="24" hidden="1" customWidth="1"/>
  </cols>
  <sheetData>
    <row r="1" spans="1:17" ht="18.75" x14ac:dyDescent="0.3">
      <c r="A1" s="1" t="s">
        <v>60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50</v>
      </c>
      <c r="G1" s="1" t="s">
        <v>51</v>
      </c>
      <c r="H1" s="1" t="s">
        <v>56</v>
      </c>
      <c r="I1" s="1" t="s">
        <v>57</v>
      </c>
      <c r="J1" s="1" t="s">
        <v>58</v>
      </c>
      <c r="K1" s="4" t="s">
        <v>0</v>
      </c>
      <c r="L1" s="4" t="s">
        <v>1</v>
      </c>
      <c r="M1" s="20" t="s">
        <v>61</v>
      </c>
      <c r="N1" s="9" t="s">
        <v>64</v>
      </c>
      <c r="O1" s="22" t="s">
        <v>124</v>
      </c>
      <c r="P1" s="44" t="s">
        <v>142</v>
      </c>
      <c r="Q1" s="22" t="s">
        <v>125</v>
      </c>
    </row>
    <row r="2" spans="1:17" ht="15.75" x14ac:dyDescent="0.25">
      <c r="A2" s="3" t="s">
        <v>2</v>
      </c>
      <c r="B2" s="3">
        <v>3</v>
      </c>
      <c r="C2" s="3">
        <v>13</v>
      </c>
      <c r="D2" s="3">
        <v>1</v>
      </c>
      <c r="E2" s="3">
        <v>2</v>
      </c>
      <c r="F2" s="3">
        <v>8</v>
      </c>
      <c r="G2" s="3">
        <v>2</v>
      </c>
      <c r="H2" s="3"/>
      <c r="I2" s="3">
        <v>1</v>
      </c>
      <c r="J2" s="3">
        <v>1</v>
      </c>
      <c r="K2" s="11">
        <v>24</v>
      </c>
      <c r="L2" s="11">
        <v>7</v>
      </c>
      <c r="M2" s="21">
        <v>31</v>
      </c>
      <c r="N2" s="10" t="s">
        <v>108</v>
      </c>
      <c r="O2" s="40">
        <v>4.66</v>
      </c>
      <c r="P2" s="45">
        <f>K2/O2</f>
        <v>5.1502145922746783</v>
      </c>
      <c r="Q2" s="23">
        <f>M2/4.66</f>
        <v>6.6523605150214591</v>
      </c>
    </row>
    <row r="3" spans="1:17" ht="15.75" x14ac:dyDescent="0.25">
      <c r="A3" s="7" t="s">
        <v>3</v>
      </c>
      <c r="B3" s="3">
        <v>1</v>
      </c>
      <c r="C3" s="3">
        <v>1</v>
      </c>
      <c r="D3" s="3"/>
      <c r="E3" s="3"/>
      <c r="F3" s="3"/>
      <c r="G3" s="3">
        <v>1</v>
      </c>
      <c r="H3" s="3"/>
      <c r="I3" s="3"/>
      <c r="J3" s="3"/>
      <c r="K3" s="11">
        <v>1</v>
      </c>
      <c r="L3" s="11">
        <v>2</v>
      </c>
      <c r="M3" s="21">
        <v>3</v>
      </c>
      <c r="N3" s="10" t="s">
        <v>80</v>
      </c>
      <c r="O3" s="40">
        <v>0.68</v>
      </c>
      <c r="P3" s="45">
        <f t="shared" ref="P3:P51" si="0">K3/O3</f>
        <v>1.4705882352941175</v>
      </c>
      <c r="Q3" s="23">
        <f>M3/0.68</f>
        <v>4.4117647058823524</v>
      </c>
    </row>
    <row r="4" spans="1:17" ht="15.75" x14ac:dyDescent="0.25">
      <c r="A4" s="3" t="s">
        <v>4</v>
      </c>
      <c r="B4" s="3">
        <v>4</v>
      </c>
      <c r="C4" s="3">
        <v>11</v>
      </c>
      <c r="D4" s="3"/>
      <c r="E4" s="3">
        <v>2</v>
      </c>
      <c r="F4" s="3">
        <v>11</v>
      </c>
      <c r="G4" s="3">
        <v>4</v>
      </c>
      <c r="H4" s="3"/>
      <c r="I4" s="3"/>
      <c r="J4" s="3"/>
      <c r="K4" s="11">
        <v>24</v>
      </c>
      <c r="L4" s="11">
        <v>8</v>
      </c>
      <c r="M4" s="21">
        <v>32</v>
      </c>
      <c r="N4" s="10" t="s">
        <v>132</v>
      </c>
      <c r="O4" s="40">
        <v>6.5</v>
      </c>
      <c r="P4" s="45">
        <f t="shared" si="0"/>
        <v>3.6923076923076925</v>
      </c>
      <c r="Q4" s="23">
        <f>M4/6.5</f>
        <v>4.9230769230769234</v>
      </c>
    </row>
    <row r="5" spans="1:17" ht="15.75" x14ac:dyDescent="0.25">
      <c r="A5" s="3" t="s">
        <v>5</v>
      </c>
      <c r="B5" s="3">
        <v>1</v>
      </c>
      <c r="C5" s="3">
        <v>5</v>
      </c>
      <c r="D5" s="3">
        <v>1</v>
      </c>
      <c r="E5" s="3"/>
      <c r="F5" s="3">
        <v>10</v>
      </c>
      <c r="G5" s="3"/>
      <c r="H5" s="3"/>
      <c r="I5" s="3"/>
      <c r="J5" s="3"/>
      <c r="K5" s="11">
        <v>15</v>
      </c>
      <c r="L5" s="11">
        <v>2</v>
      </c>
      <c r="M5" s="21">
        <v>17</v>
      </c>
      <c r="N5" s="10" t="s">
        <v>88</v>
      </c>
      <c r="O5" s="40">
        <v>2.85</v>
      </c>
      <c r="P5" s="45">
        <f t="shared" si="0"/>
        <v>5.2631578947368416</v>
      </c>
      <c r="Q5" s="23">
        <f>17/2.85</f>
        <v>5.9649122807017543</v>
      </c>
    </row>
    <row r="6" spans="1:17" ht="15.75" x14ac:dyDescent="0.25">
      <c r="A6" s="3" t="s">
        <v>6</v>
      </c>
      <c r="B6" s="3">
        <v>10</v>
      </c>
      <c r="C6" s="3">
        <v>56</v>
      </c>
      <c r="D6" s="3">
        <v>2</v>
      </c>
      <c r="E6" s="3">
        <v>4</v>
      </c>
      <c r="F6" s="3">
        <v>51</v>
      </c>
      <c r="G6" s="3">
        <v>11</v>
      </c>
      <c r="H6" s="3">
        <v>5</v>
      </c>
      <c r="I6" s="3">
        <v>1</v>
      </c>
      <c r="J6" s="3">
        <v>3</v>
      </c>
      <c r="K6" s="11">
        <v>114</v>
      </c>
      <c r="L6" s="11">
        <v>29</v>
      </c>
      <c r="M6" s="21">
        <v>138</v>
      </c>
      <c r="N6" s="10" t="s">
        <v>133</v>
      </c>
      <c r="O6" s="40">
        <v>36.75</v>
      </c>
      <c r="P6" s="45">
        <f t="shared" si="0"/>
        <v>3.1020408163265305</v>
      </c>
      <c r="Q6" s="23">
        <f>138/36.75</f>
        <v>3.7551020408163267</v>
      </c>
    </row>
    <row r="7" spans="1:17" ht="15.75" x14ac:dyDescent="0.25">
      <c r="A7" s="3" t="s">
        <v>7</v>
      </c>
      <c r="B7" s="3">
        <v>2</v>
      </c>
      <c r="C7" s="3">
        <v>7</v>
      </c>
      <c r="D7" s="3">
        <v>1</v>
      </c>
      <c r="E7" s="3">
        <v>2</v>
      </c>
      <c r="F7" s="3">
        <v>10</v>
      </c>
      <c r="G7" s="3"/>
      <c r="H7" s="3"/>
      <c r="I7" s="3"/>
      <c r="J7" s="3"/>
      <c r="K7" s="11">
        <v>19</v>
      </c>
      <c r="L7" s="11">
        <v>3</v>
      </c>
      <c r="M7" s="21">
        <v>21</v>
      </c>
      <c r="N7" s="10" t="s">
        <v>93</v>
      </c>
      <c r="O7" s="40">
        <v>4.93</v>
      </c>
      <c r="P7" s="45">
        <f t="shared" si="0"/>
        <v>3.85395537525355</v>
      </c>
      <c r="Q7" s="23">
        <f>21/4.93</f>
        <v>4.2596348884381339</v>
      </c>
    </row>
    <row r="8" spans="1:17" ht="15.75" x14ac:dyDescent="0.25">
      <c r="A8" s="3" t="s">
        <v>8</v>
      </c>
      <c r="B8" s="3"/>
      <c r="C8" s="3">
        <v>2</v>
      </c>
      <c r="D8" s="3"/>
      <c r="E8" s="3"/>
      <c r="F8" s="3">
        <v>8</v>
      </c>
      <c r="G8" s="3"/>
      <c r="H8" s="3"/>
      <c r="I8" s="3"/>
      <c r="J8" s="3"/>
      <c r="K8" s="11">
        <v>10</v>
      </c>
      <c r="L8" s="11">
        <v>0</v>
      </c>
      <c r="M8" s="21">
        <v>10</v>
      </c>
      <c r="N8" s="10" t="s">
        <v>88</v>
      </c>
      <c r="O8" s="40">
        <v>3.5</v>
      </c>
      <c r="P8" s="45">
        <f t="shared" si="0"/>
        <v>2.8571428571428572</v>
      </c>
      <c r="Q8" s="23">
        <f>10/3.5</f>
        <v>2.8571428571428572</v>
      </c>
    </row>
    <row r="9" spans="1:17" ht="15.75" x14ac:dyDescent="0.25">
      <c r="A9" s="3" t="s">
        <v>9</v>
      </c>
      <c r="B9" s="3"/>
      <c r="C9" s="3">
        <v>3</v>
      </c>
      <c r="D9" s="3"/>
      <c r="E9" s="3"/>
      <c r="F9" s="3">
        <v>4</v>
      </c>
      <c r="G9" s="3"/>
      <c r="H9" s="3"/>
      <c r="I9" s="3"/>
      <c r="J9" s="3"/>
      <c r="K9" s="11">
        <v>7</v>
      </c>
      <c r="L9" s="11">
        <v>0</v>
      </c>
      <c r="M9" s="21">
        <v>7</v>
      </c>
      <c r="N9" s="10">
        <v>0</v>
      </c>
      <c r="O9" s="40">
        <v>0.87</v>
      </c>
      <c r="P9" s="45">
        <f t="shared" si="0"/>
        <v>8.0459770114942533</v>
      </c>
      <c r="Q9" s="23">
        <f>7/0.87</f>
        <v>8.0459770114942533</v>
      </c>
    </row>
    <row r="10" spans="1:17" ht="15.75" x14ac:dyDescent="0.25">
      <c r="A10" s="3" t="s">
        <v>10</v>
      </c>
      <c r="B10" s="3" t="s">
        <v>62</v>
      </c>
      <c r="C10" s="3"/>
      <c r="D10" s="3" t="s">
        <v>63</v>
      </c>
      <c r="E10" s="3"/>
      <c r="F10" s="3" t="s">
        <v>63</v>
      </c>
      <c r="G10" s="3"/>
      <c r="H10" s="3" t="s">
        <v>63</v>
      </c>
      <c r="I10" s="3"/>
      <c r="J10" s="3" t="s">
        <v>63</v>
      </c>
      <c r="K10" s="11" t="s">
        <v>63</v>
      </c>
      <c r="L10" s="11" t="s">
        <v>63</v>
      </c>
      <c r="M10" s="21" t="s">
        <v>62</v>
      </c>
      <c r="N10" s="10"/>
      <c r="O10" s="40">
        <v>18.32</v>
      </c>
      <c r="P10" s="45"/>
      <c r="Q10" s="23"/>
    </row>
    <row r="11" spans="1:17" ht="15.75" x14ac:dyDescent="0.25">
      <c r="A11" s="3" t="s">
        <v>11</v>
      </c>
      <c r="B11" s="3">
        <v>6</v>
      </c>
      <c r="C11" s="3">
        <v>23</v>
      </c>
      <c r="D11" s="3">
        <v>1</v>
      </c>
      <c r="E11" s="3"/>
      <c r="F11" s="3">
        <v>24</v>
      </c>
      <c r="G11" s="3">
        <v>3</v>
      </c>
      <c r="H11" s="3">
        <v>2</v>
      </c>
      <c r="I11" s="3"/>
      <c r="J11" s="3"/>
      <c r="K11" s="11">
        <v>48</v>
      </c>
      <c r="L11" s="11">
        <v>11</v>
      </c>
      <c r="M11" s="21">
        <v>59</v>
      </c>
      <c r="N11" s="10" t="s">
        <v>134</v>
      </c>
      <c r="O11" s="40">
        <v>9.2799999999999994</v>
      </c>
      <c r="P11" s="45">
        <f t="shared" si="0"/>
        <v>5.1724137931034484</v>
      </c>
      <c r="Q11" s="23">
        <f>59/9.28</f>
        <v>6.3577586206896557</v>
      </c>
    </row>
    <row r="12" spans="1:17" ht="15.75" x14ac:dyDescent="0.25">
      <c r="A12" s="7" t="s">
        <v>12</v>
      </c>
      <c r="B12" s="3"/>
      <c r="C12" s="3">
        <v>4</v>
      </c>
      <c r="D12" s="3"/>
      <c r="E12" s="3"/>
      <c r="F12" s="3"/>
      <c r="G12" s="3"/>
      <c r="H12" s="3">
        <v>1</v>
      </c>
      <c r="I12" s="3"/>
      <c r="J12" s="3"/>
      <c r="K12" s="11">
        <v>4</v>
      </c>
      <c r="L12" s="11">
        <v>1</v>
      </c>
      <c r="M12" s="21">
        <v>5</v>
      </c>
      <c r="N12" s="10" t="s">
        <v>81</v>
      </c>
      <c r="O12" s="40">
        <v>1.52</v>
      </c>
      <c r="P12" s="45">
        <f t="shared" si="0"/>
        <v>2.6315789473684212</v>
      </c>
      <c r="Q12" s="23">
        <f>5/1.52</f>
        <v>3.2894736842105261</v>
      </c>
    </row>
    <row r="13" spans="1:17" ht="15.75" x14ac:dyDescent="0.25">
      <c r="A13" s="3" t="s">
        <v>13</v>
      </c>
      <c r="B13" s="3">
        <v>1</v>
      </c>
      <c r="C13" s="3">
        <v>4</v>
      </c>
      <c r="D13" s="3"/>
      <c r="E13" s="3"/>
      <c r="F13" s="3"/>
      <c r="G13" s="3"/>
      <c r="H13" s="3">
        <v>2</v>
      </c>
      <c r="I13" s="3"/>
      <c r="J13" s="3"/>
      <c r="K13" s="11">
        <v>4</v>
      </c>
      <c r="L13" s="11">
        <v>3</v>
      </c>
      <c r="M13" s="21">
        <v>7</v>
      </c>
      <c r="N13" s="10">
        <v>0</v>
      </c>
      <c r="O13" s="40">
        <v>12.9</v>
      </c>
      <c r="P13" s="45">
        <f t="shared" si="0"/>
        <v>0.31007751937984496</v>
      </c>
      <c r="Q13" s="23">
        <f>7/12.9</f>
        <v>0.54263565891472865</v>
      </c>
    </row>
    <row r="14" spans="1:17" ht="15.75" x14ac:dyDescent="0.25">
      <c r="A14" s="3" t="s">
        <v>14</v>
      </c>
      <c r="B14" s="3"/>
      <c r="C14" s="3">
        <v>2</v>
      </c>
      <c r="D14" s="3"/>
      <c r="E14" s="3"/>
      <c r="F14" s="3">
        <v>9</v>
      </c>
      <c r="G14" s="3">
        <v>9</v>
      </c>
      <c r="H14" s="3"/>
      <c r="I14" s="3"/>
      <c r="J14" s="3"/>
      <c r="K14" s="11">
        <v>11</v>
      </c>
      <c r="L14" s="11">
        <v>9</v>
      </c>
      <c r="M14" s="21">
        <v>20</v>
      </c>
      <c r="N14" s="10" t="s">
        <v>114</v>
      </c>
      <c r="O14" s="40">
        <v>9.68</v>
      </c>
      <c r="P14" s="45">
        <f t="shared" si="0"/>
        <v>1.1363636363636365</v>
      </c>
      <c r="Q14" s="23">
        <f>20/9.68</f>
        <v>2.0661157024793391</v>
      </c>
    </row>
    <row r="15" spans="1:17" ht="15.75" x14ac:dyDescent="0.25">
      <c r="A15" s="3" t="s">
        <v>15</v>
      </c>
      <c r="B15" s="3">
        <v>2</v>
      </c>
      <c r="C15" s="3">
        <v>7</v>
      </c>
      <c r="D15" s="3"/>
      <c r="E15" s="3">
        <v>3</v>
      </c>
      <c r="F15" s="3">
        <v>10</v>
      </c>
      <c r="G15" s="3">
        <v>3</v>
      </c>
      <c r="H15" s="3">
        <v>1</v>
      </c>
      <c r="I15" s="3"/>
      <c r="J15" s="3"/>
      <c r="K15" s="11">
        <v>20</v>
      </c>
      <c r="L15" s="11">
        <v>6</v>
      </c>
      <c r="M15" s="21">
        <v>26</v>
      </c>
      <c r="N15" s="10" t="s">
        <v>70</v>
      </c>
      <c r="O15" s="40">
        <v>6.36</v>
      </c>
      <c r="P15" s="45">
        <f t="shared" si="0"/>
        <v>3.1446540880503142</v>
      </c>
      <c r="Q15" s="23">
        <f>26/6.37</f>
        <v>4.0816326530612246</v>
      </c>
    </row>
    <row r="16" spans="1:17" ht="15.75" x14ac:dyDescent="0.25">
      <c r="A16" s="3" t="s">
        <v>16</v>
      </c>
      <c r="B16" s="3">
        <v>1</v>
      </c>
      <c r="C16" s="3">
        <v>4</v>
      </c>
      <c r="D16" s="3">
        <v>1</v>
      </c>
      <c r="E16" s="3"/>
      <c r="F16" s="3">
        <v>5</v>
      </c>
      <c r="G16" s="3">
        <v>1</v>
      </c>
      <c r="H16" s="3"/>
      <c r="I16" s="3"/>
      <c r="J16" s="3"/>
      <c r="K16" s="11">
        <v>9</v>
      </c>
      <c r="L16" s="11">
        <v>3</v>
      </c>
      <c r="M16" s="21">
        <v>12</v>
      </c>
      <c r="N16" s="10" t="s">
        <v>80</v>
      </c>
      <c r="O16" s="40">
        <v>3</v>
      </c>
      <c r="P16" s="45">
        <f t="shared" si="0"/>
        <v>3</v>
      </c>
      <c r="Q16" s="23">
        <f>12/3</f>
        <v>4</v>
      </c>
    </row>
    <row r="17" spans="1:17" ht="15.75" x14ac:dyDescent="0.25">
      <c r="A17" s="3" t="s">
        <v>17</v>
      </c>
      <c r="B17" s="3"/>
      <c r="C17" s="3">
        <v>1</v>
      </c>
      <c r="D17" s="3"/>
      <c r="E17" s="3">
        <v>1</v>
      </c>
      <c r="F17" s="3">
        <v>4</v>
      </c>
      <c r="G17" s="3">
        <v>2</v>
      </c>
      <c r="H17" s="3"/>
      <c r="I17" s="3"/>
      <c r="J17" s="3"/>
      <c r="K17" s="11">
        <v>6</v>
      </c>
      <c r="L17" s="11">
        <v>2</v>
      </c>
      <c r="M17" s="21">
        <v>8</v>
      </c>
      <c r="N17" s="10" t="s">
        <v>135</v>
      </c>
      <c r="O17" s="40">
        <v>2.8</v>
      </c>
      <c r="P17" s="45">
        <f t="shared" si="0"/>
        <v>2.1428571428571428</v>
      </c>
      <c r="Q17" s="23">
        <f>8/2.8</f>
        <v>2.8571428571428572</v>
      </c>
    </row>
    <row r="18" spans="1:17" ht="15.75" x14ac:dyDescent="0.25">
      <c r="A18" s="3" t="s">
        <v>18</v>
      </c>
      <c r="B18" s="3">
        <v>4</v>
      </c>
      <c r="C18" s="3">
        <v>12</v>
      </c>
      <c r="D18" s="3"/>
      <c r="E18" s="3">
        <v>1</v>
      </c>
      <c r="F18" s="3">
        <v>4</v>
      </c>
      <c r="G18" s="3">
        <v>5</v>
      </c>
      <c r="H18" s="3"/>
      <c r="I18" s="3"/>
      <c r="J18" s="3"/>
      <c r="K18" s="11">
        <v>17</v>
      </c>
      <c r="L18" s="11">
        <v>9</v>
      </c>
      <c r="M18" s="21">
        <v>26</v>
      </c>
      <c r="N18" s="10" t="s">
        <v>108</v>
      </c>
      <c r="O18" s="41">
        <v>4.26</v>
      </c>
      <c r="P18" s="45">
        <f t="shared" si="0"/>
        <v>3.990610328638498</v>
      </c>
      <c r="Q18" s="23">
        <f>26/4.26</f>
        <v>6.103286384976526</v>
      </c>
    </row>
    <row r="19" spans="1:17" ht="15.75" x14ac:dyDescent="0.25">
      <c r="A19" s="3" t="s">
        <v>19</v>
      </c>
      <c r="B19" s="3">
        <v>4</v>
      </c>
      <c r="C19" s="3">
        <v>11</v>
      </c>
      <c r="D19" s="3"/>
      <c r="E19" s="3">
        <v>1</v>
      </c>
      <c r="F19" s="3">
        <v>12</v>
      </c>
      <c r="G19" s="3">
        <v>7</v>
      </c>
      <c r="H19" s="3"/>
      <c r="I19" s="3">
        <v>1</v>
      </c>
      <c r="J19" s="3"/>
      <c r="K19" s="11">
        <v>24</v>
      </c>
      <c r="L19" s="11">
        <v>12</v>
      </c>
      <c r="M19" s="21">
        <v>36</v>
      </c>
      <c r="N19" s="10" t="s">
        <v>93</v>
      </c>
      <c r="O19" s="41">
        <v>4.41</v>
      </c>
      <c r="P19" s="45">
        <f t="shared" si="0"/>
        <v>5.4421768707482991</v>
      </c>
      <c r="Q19" s="23">
        <f>36/4.41</f>
        <v>8.1632653061224492</v>
      </c>
    </row>
    <row r="20" spans="1:17" ht="15.75" x14ac:dyDescent="0.25">
      <c r="A20" s="3" t="s">
        <v>20</v>
      </c>
      <c r="B20" s="3">
        <v>2</v>
      </c>
      <c r="C20" s="3"/>
      <c r="D20" s="3"/>
      <c r="E20" s="3"/>
      <c r="F20" s="3">
        <v>2</v>
      </c>
      <c r="G20" s="3"/>
      <c r="H20" s="3"/>
      <c r="I20" s="3"/>
      <c r="J20" s="3"/>
      <c r="K20" s="11">
        <v>2</v>
      </c>
      <c r="L20" s="11">
        <v>2</v>
      </c>
      <c r="M20" s="21">
        <v>4</v>
      </c>
      <c r="N20" s="10">
        <v>0</v>
      </c>
      <c r="O20" s="41">
        <v>1.31</v>
      </c>
      <c r="P20" s="45">
        <f t="shared" si="0"/>
        <v>1.5267175572519083</v>
      </c>
      <c r="Q20" s="23">
        <f>4/1.31</f>
        <v>3.0534351145038165</v>
      </c>
    </row>
    <row r="21" spans="1:17" ht="15.75" x14ac:dyDescent="0.25">
      <c r="A21" s="3" t="s">
        <v>21</v>
      </c>
      <c r="B21" s="3">
        <v>1</v>
      </c>
      <c r="C21" s="3">
        <v>9</v>
      </c>
      <c r="D21" s="3"/>
      <c r="E21" s="3">
        <v>2</v>
      </c>
      <c r="F21" s="3">
        <v>17</v>
      </c>
      <c r="G21" s="3">
        <v>2</v>
      </c>
      <c r="H21" s="3">
        <v>1</v>
      </c>
      <c r="I21" s="3"/>
      <c r="J21" s="3"/>
      <c r="K21" s="11">
        <v>29</v>
      </c>
      <c r="L21" s="11">
        <v>3</v>
      </c>
      <c r="M21" s="21">
        <v>32</v>
      </c>
      <c r="N21" s="10" t="s">
        <v>70</v>
      </c>
      <c r="O21" s="41">
        <v>5.65</v>
      </c>
      <c r="P21" s="45">
        <f t="shared" si="0"/>
        <v>5.1327433628318584</v>
      </c>
      <c r="Q21" s="23">
        <f>32/5.63</f>
        <v>5.6838365896980463</v>
      </c>
    </row>
    <row r="22" spans="1:17" ht="15.75" x14ac:dyDescent="0.25">
      <c r="A22" s="3" t="s">
        <v>59</v>
      </c>
      <c r="B22" s="3"/>
      <c r="C22" s="3">
        <v>2</v>
      </c>
      <c r="D22" s="3"/>
      <c r="E22" s="3">
        <v>1</v>
      </c>
      <c r="F22" s="3">
        <v>7</v>
      </c>
      <c r="G22" s="3">
        <v>1</v>
      </c>
      <c r="H22" s="3"/>
      <c r="I22" s="3"/>
      <c r="J22" s="3">
        <v>1</v>
      </c>
      <c r="K22" s="11">
        <v>11</v>
      </c>
      <c r="L22" s="11">
        <v>1</v>
      </c>
      <c r="M22" s="21">
        <v>12</v>
      </c>
      <c r="N22" s="10" t="s">
        <v>68</v>
      </c>
      <c r="O22" s="41">
        <v>6.49</v>
      </c>
      <c r="P22" s="45">
        <f t="shared" si="0"/>
        <v>1.6949152542372881</v>
      </c>
      <c r="Q22" s="23">
        <f>12/6.49</f>
        <v>1.8489984591679507</v>
      </c>
    </row>
    <row r="23" spans="1:17" ht="15.75" x14ac:dyDescent="0.25">
      <c r="A23" s="3" t="s">
        <v>22</v>
      </c>
      <c r="B23" s="3"/>
      <c r="C23" s="3">
        <v>13</v>
      </c>
      <c r="D23" s="3"/>
      <c r="E23" s="3">
        <v>2</v>
      </c>
      <c r="F23" s="3">
        <v>7</v>
      </c>
      <c r="G23" s="3">
        <v>2</v>
      </c>
      <c r="H23" s="3"/>
      <c r="I23" s="3">
        <v>1</v>
      </c>
      <c r="J23" s="3"/>
      <c r="K23" s="11">
        <v>22</v>
      </c>
      <c r="L23" s="11">
        <v>3</v>
      </c>
      <c r="M23" s="21">
        <v>25</v>
      </c>
      <c r="N23" s="10" t="s">
        <v>65</v>
      </c>
      <c r="O23" s="41">
        <v>10</v>
      </c>
      <c r="P23" s="45">
        <f t="shared" si="0"/>
        <v>2.2000000000000002</v>
      </c>
      <c r="Q23" s="23">
        <f>25/10</f>
        <v>2.5</v>
      </c>
    </row>
    <row r="24" spans="1:17" ht="15.75" x14ac:dyDescent="0.25">
      <c r="A24" s="3" t="s">
        <v>23</v>
      </c>
      <c r="B24" s="3"/>
      <c r="C24" s="3">
        <v>8</v>
      </c>
      <c r="D24" s="3"/>
      <c r="E24" s="3"/>
      <c r="F24" s="3">
        <v>4</v>
      </c>
      <c r="G24" s="3">
        <v>3</v>
      </c>
      <c r="H24" s="3">
        <v>1</v>
      </c>
      <c r="I24" s="3"/>
      <c r="J24" s="3"/>
      <c r="K24" s="11">
        <v>12</v>
      </c>
      <c r="L24" s="11">
        <v>4</v>
      </c>
      <c r="M24" s="21">
        <v>16</v>
      </c>
      <c r="N24" s="10" t="s">
        <v>66</v>
      </c>
      <c r="O24" s="41">
        <v>5.22</v>
      </c>
      <c r="P24" s="45">
        <f t="shared" si="0"/>
        <v>2.298850574712644</v>
      </c>
      <c r="Q24" s="23">
        <f>16/5.22</f>
        <v>3.0651340996168583</v>
      </c>
    </row>
    <row r="25" spans="1:17" ht="15.75" x14ac:dyDescent="0.25">
      <c r="A25" s="3" t="s">
        <v>24</v>
      </c>
      <c r="B25" s="3"/>
      <c r="C25" s="3">
        <v>5</v>
      </c>
      <c r="D25" s="3"/>
      <c r="E25" s="3"/>
      <c r="F25" s="3">
        <v>6</v>
      </c>
      <c r="G25" s="3">
        <v>4</v>
      </c>
      <c r="H25" s="3"/>
      <c r="I25" s="3"/>
      <c r="J25" s="3"/>
      <c r="K25" s="11">
        <v>11</v>
      </c>
      <c r="L25" s="11">
        <v>4</v>
      </c>
      <c r="M25" s="21">
        <v>15</v>
      </c>
      <c r="N25" s="10">
        <v>0</v>
      </c>
      <c r="O25" s="41">
        <v>2.93</v>
      </c>
      <c r="P25" s="45">
        <f t="shared" si="0"/>
        <v>3.7542662116040955</v>
      </c>
      <c r="Q25" s="23">
        <f>15/2.93</f>
        <v>5.1194539249146755</v>
      </c>
    </row>
    <row r="26" spans="1:17" ht="15.75" x14ac:dyDescent="0.25">
      <c r="A26" s="3" t="s">
        <v>25</v>
      </c>
      <c r="B26" s="3">
        <v>7</v>
      </c>
      <c r="C26" s="3">
        <v>16</v>
      </c>
      <c r="D26" s="3">
        <v>1</v>
      </c>
      <c r="E26" s="3">
        <v>2</v>
      </c>
      <c r="F26" s="3">
        <v>14</v>
      </c>
      <c r="G26" s="3">
        <v>13</v>
      </c>
      <c r="H26" s="3"/>
      <c r="I26" s="3">
        <v>1</v>
      </c>
      <c r="J26" s="3">
        <v>1</v>
      </c>
      <c r="K26" s="11">
        <v>33</v>
      </c>
      <c r="L26" s="11">
        <v>22</v>
      </c>
      <c r="M26" s="21">
        <v>55</v>
      </c>
      <c r="N26" s="10" t="s">
        <v>67</v>
      </c>
      <c r="O26" s="41">
        <v>5.91</v>
      </c>
      <c r="P26" s="45">
        <f t="shared" si="0"/>
        <v>5.5837563451776653</v>
      </c>
      <c r="Q26" s="23">
        <f>55/5.91</f>
        <v>9.3062605752961076</v>
      </c>
    </row>
    <row r="27" spans="1:17" ht="15.75" x14ac:dyDescent="0.25">
      <c r="A27" s="3" t="s">
        <v>26</v>
      </c>
      <c r="B27" s="3"/>
      <c r="C27" s="3"/>
      <c r="D27" s="3"/>
      <c r="E27" s="3"/>
      <c r="F27" s="3">
        <v>6</v>
      </c>
      <c r="G27" s="3">
        <v>2</v>
      </c>
      <c r="H27" s="3"/>
      <c r="I27" s="3"/>
      <c r="J27" s="3">
        <v>1</v>
      </c>
      <c r="K27" s="11">
        <v>7</v>
      </c>
      <c r="L27" s="11">
        <v>2</v>
      </c>
      <c r="M27" s="21">
        <v>9</v>
      </c>
      <c r="N27" s="10" t="s">
        <v>68</v>
      </c>
      <c r="O27" s="41">
        <v>0.96</v>
      </c>
      <c r="P27" s="45">
        <f t="shared" si="0"/>
        <v>7.291666666666667</v>
      </c>
      <c r="Q27" s="23">
        <f>9/0.96</f>
        <v>9.375</v>
      </c>
    </row>
    <row r="28" spans="1:17" ht="15.75" x14ac:dyDescent="0.25">
      <c r="A28" s="3" t="s">
        <v>27</v>
      </c>
      <c r="B28" s="3"/>
      <c r="C28" s="3">
        <v>2</v>
      </c>
      <c r="D28" s="3"/>
      <c r="E28" s="3">
        <v>1</v>
      </c>
      <c r="F28" s="3">
        <v>2</v>
      </c>
      <c r="G28" s="3"/>
      <c r="H28" s="3"/>
      <c r="I28" s="3"/>
      <c r="J28" s="3"/>
      <c r="K28" s="11">
        <v>5</v>
      </c>
      <c r="L28" s="11">
        <v>0</v>
      </c>
      <c r="M28" s="21">
        <v>5</v>
      </c>
      <c r="N28" s="10" t="s">
        <v>69</v>
      </c>
      <c r="O28" s="41">
        <v>1.78</v>
      </c>
      <c r="P28" s="45">
        <f t="shared" si="0"/>
        <v>2.8089887640449436</v>
      </c>
      <c r="Q28" s="23">
        <f>5/1.78</f>
        <v>2.8089887640449436</v>
      </c>
    </row>
    <row r="29" spans="1:17" ht="15.75" x14ac:dyDescent="0.25">
      <c r="A29" s="3" t="s">
        <v>28</v>
      </c>
      <c r="B29" s="3">
        <v>1</v>
      </c>
      <c r="C29" s="3">
        <v>10</v>
      </c>
      <c r="D29" s="3"/>
      <c r="E29" s="3">
        <v>1</v>
      </c>
      <c r="F29" s="3">
        <v>9</v>
      </c>
      <c r="G29" s="3"/>
      <c r="H29" s="3"/>
      <c r="I29" s="3"/>
      <c r="J29" s="3"/>
      <c r="K29" s="11">
        <v>20</v>
      </c>
      <c r="L29" s="11">
        <v>1</v>
      </c>
      <c r="M29" s="21">
        <v>21</v>
      </c>
      <c r="N29" s="10" t="s">
        <v>70</v>
      </c>
      <c r="O29" s="41">
        <v>2.6</v>
      </c>
      <c r="P29" s="45">
        <f t="shared" si="0"/>
        <v>7.6923076923076916</v>
      </c>
      <c r="Q29" s="23">
        <f>21/2.6</f>
        <v>8.0769230769230766</v>
      </c>
    </row>
    <row r="30" spans="1:17" ht="15.75" x14ac:dyDescent="0.25">
      <c r="A30" s="3" t="s">
        <v>29</v>
      </c>
      <c r="B30" s="3">
        <v>1</v>
      </c>
      <c r="C30" s="3">
        <v>1</v>
      </c>
      <c r="D30" s="3"/>
      <c r="E30" s="3"/>
      <c r="F30" s="3"/>
      <c r="G30" s="3"/>
      <c r="H30" s="3"/>
      <c r="I30" s="3"/>
      <c r="J30" s="3">
        <v>1</v>
      </c>
      <c r="K30" s="11">
        <v>2</v>
      </c>
      <c r="L30" s="11">
        <v>1</v>
      </c>
      <c r="M30" s="21">
        <v>3</v>
      </c>
      <c r="N30" s="10">
        <v>0</v>
      </c>
      <c r="O30" s="41">
        <v>1.31</v>
      </c>
      <c r="P30" s="45">
        <f t="shared" si="0"/>
        <v>1.5267175572519083</v>
      </c>
      <c r="Q30" s="23">
        <f>3/1.31</f>
        <v>2.2900763358778624</v>
      </c>
    </row>
    <row r="31" spans="1:17" ht="15.75" x14ac:dyDescent="0.25">
      <c r="A31" s="3" t="s">
        <v>30</v>
      </c>
      <c r="B31" s="3">
        <v>1</v>
      </c>
      <c r="C31" s="3">
        <v>16</v>
      </c>
      <c r="D31" s="3"/>
      <c r="E31" s="3"/>
      <c r="F31" s="3">
        <v>18</v>
      </c>
      <c r="G31" s="3">
        <v>4</v>
      </c>
      <c r="H31" s="3"/>
      <c r="I31" s="3"/>
      <c r="J31" s="3"/>
      <c r="K31" s="11">
        <v>34</v>
      </c>
      <c r="L31" s="11">
        <v>5</v>
      </c>
      <c r="M31" s="21">
        <v>39</v>
      </c>
      <c r="N31" s="10" t="s">
        <v>71</v>
      </c>
      <c r="O31" s="41">
        <v>8.68</v>
      </c>
      <c r="P31" s="45">
        <f t="shared" si="0"/>
        <v>3.9170506912442398</v>
      </c>
      <c r="Q31" s="23">
        <f>39/8.68</f>
        <v>4.4930875576036868</v>
      </c>
    </row>
    <row r="32" spans="1:17" ht="15.75" x14ac:dyDescent="0.25">
      <c r="A32" s="3" t="s">
        <v>31</v>
      </c>
      <c r="B32" s="3">
        <v>2</v>
      </c>
      <c r="C32" s="3">
        <v>2</v>
      </c>
      <c r="D32" s="3"/>
      <c r="E32" s="3"/>
      <c r="F32" s="3">
        <v>4</v>
      </c>
      <c r="G32" s="3">
        <v>3</v>
      </c>
      <c r="H32" s="3"/>
      <c r="I32" s="3"/>
      <c r="J32" s="3">
        <v>1</v>
      </c>
      <c r="K32" s="11">
        <v>7</v>
      </c>
      <c r="L32" s="11">
        <v>5</v>
      </c>
      <c r="M32" s="21">
        <v>12</v>
      </c>
      <c r="N32" s="10" t="s">
        <v>72</v>
      </c>
      <c r="O32" s="41">
        <v>1.98</v>
      </c>
      <c r="P32" s="45">
        <f t="shared" si="0"/>
        <v>3.5353535353535355</v>
      </c>
      <c r="Q32" s="23">
        <f>12/1.98</f>
        <v>6.0606060606060606</v>
      </c>
    </row>
    <row r="33" spans="1:17" ht="15.75" x14ac:dyDescent="0.25">
      <c r="A33" s="3" t="s">
        <v>32</v>
      </c>
      <c r="B33" s="3">
        <v>4</v>
      </c>
      <c r="C33" s="3">
        <v>27</v>
      </c>
      <c r="D33" s="3"/>
      <c r="E33" s="3">
        <v>2</v>
      </c>
      <c r="F33" s="3">
        <v>31</v>
      </c>
      <c r="G33" s="3">
        <v>15</v>
      </c>
      <c r="H33" s="3">
        <v>6</v>
      </c>
      <c r="I33" s="3"/>
      <c r="J33" s="3">
        <v>1</v>
      </c>
      <c r="K33" s="11">
        <v>63</v>
      </c>
      <c r="L33" s="11">
        <v>23</v>
      </c>
      <c r="M33" s="21">
        <v>86</v>
      </c>
      <c r="N33" s="10" t="s">
        <v>73</v>
      </c>
      <c r="O33" s="41">
        <v>19.489999999999998</v>
      </c>
      <c r="P33" s="45">
        <f t="shared" si="0"/>
        <v>3.2324268855823504</v>
      </c>
      <c r="Q33" s="23">
        <f>86/19.49</f>
        <v>4.4125192406362244</v>
      </c>
    </row>
    <row r="34" spans="1:17" ht="15.75" x14ac:dyDescent="0.25">
      <c r="A34" s="3" t="s">
        <v>33</v>
      </c>
      <c r="B34" s="3">
        <v>4</v>
      </c>
      <c r="C34" s="3">
        <v>22</v>
      </c>
      <c r="D34" s="3"/>
      <c r="E34" s="3">
        <v>2</v>
      </c>
      <c r="F34" s="3">
        <v>28</v>
      </c>
      <c r="G34" s="3">
        <v>8</v>
      </c>
      <c r="H34" s="3">
        <v>1</v>
      </c>
      <c r="I34" s="3"/>
      <c r="J34" s="3">
        <v>2</v>
      </c>
      <c r="K34" s="11">
        <v>54</v>
      </c>
      <c r="L34" s="11">
        <v>13</v>
      </c>
      <c r="M34" s="21">
        <v>67</v>
      </c>
      <c r="N34" s="10" t="s">
        <v>74</v>
      </c>
      <c r="O34" s="41">
        <v>9.2200000000000006</v>
      </c>
      <c r="P34" s="45">
        <f t="shared" si="0"/>
        <v>5.8568329718004337</v>
      </c>
      <c r="Q34" s="23">
        <f>67/9.22</f>
        <v>7.2668112798264639</v>
      </c>
    </row>
    <row r="35" spans="1:17" ht="15.75" x14ac:dyDescent="0.25">
      <c r="A35" s="3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11"/>
      <c r="L35" s="11"/>
      <c r="M35" s="21">
        <v>0</v>
      </c>
      <c r="N35" s="10">
        <v>0</v>
      </c>
      <c r="O35" s="41">
        <v>0.64</v>
      </c>
      <c r="P35" s="45">
        <f t="shared" si="0"/>
        <v>0</v>
      </c>
      <c r="Q35" s="23"/>
    </row>
    <row r="36" spans="1:17" ht="15.75" x14ac:dyDescent="0.25">
      <c r="A36" s="3" t="s">
        <v>35</v>
      </c>
      <c r="B36" s="3">
        <v>5</v>
      </c>
      <c r="C36" s="3">
        <v>8</v>
      </c>
      <c r="D36" s="3"/>
      <c r="E36" s="3">
        <v>3</v>
      </c>
      <c r="F36" s="3">
        <v>11</v>
      </c>
      <c r="G36" s="3">
        <v>5</v>
      </c>
      <c r="H36" s="3"/>
      <c r="I36" s="3"/>
      <c r="J36" s="3"/>
      <c r="K36" s="11">
        <v>22</v>
      </c>
      <c r="L36" s="11">
        <v>10</v>
      </c>
      <c r="M36" s="21">
        <v>32</v>
      </c>
      <c r="N36" s="10" t="s">
        <v>65</v>
      </c>
      <c r="O36" s="41">
        <v>11.48</v>
      </c>
      <c r="P36" s="45">
        <f t="shared" si="0"/>
        <v>1.9163763066202091</v>
      </c>
      <c r="Q36" s="23">
        <f>32/11.48</f>
        <v>2.7874564459930311</v>
      </c>
    </row>
    <row r="37" spans="1:17" ht="15.75" x14ac:dyDescent="0.25">
      <c r="A37" s="3" t="s">
        <v>36</v>
      </c>
      <c r="B37" s="3">
        <v>4</v>
      </c>
      <c r="C37" s="3">
        <v>4</v>
      </c>
      <c r="D37" s="3">
        <v>2</v>
      </c>
      <c r="E37" s="3">
        <v>2</v>
      </c>
      <c r="F37" s="3">
        <v>7</v>
      </c>
      <c r="G37" s="3">
        <v>3</v>
      </c>
      <c r="H37" s="3"/>
      <c r="I37" s="3"/>
      <c r="J37" s="3">
        <v>2</v>
      </c>
      <c r="K37" s="11">
        <v>15</v>
      </c>
      <c r="L37" s="11">
        <v>9</v>
      </c>
      <c r="M37" s="21">
        <v>24</v>
      </c>
      <c r="N37" s="10" t="s">
        <v>75</v>
      </c>
      <c r="O37" s="41">
        <v>3.64</v>
      </c>
      <c r="P37" s="45">
        <f t="shared" si="0"/>
        <v>4.1208791208791204</v>
      </c>
      <c r="Q37" s="23">
        <f>24/3.6</f>
        <v>6.6666666666666661</v>
      </c>
    </row>
    <row r="38" spans="1:17" ht="15.75" x14ac:dyDescent="0.25">
      <c r="A38" s="3" t="s">
        <v>37</v>
      </c>
      <c r="B38" s="3"/>
      <c r="C38" s="3">
        <v>3</v>
      </c>
      <c r="D38" s="3"/>
      <c r="E38" s="3"/>
      <c r="F38" s="3">
        <v>1</v>
      </c>
      <c r="G38" s="3">
        <v>4</v>
      </c>
      <c r="H38" s="3"/>
      <c r="I38" s="3"/>
      <c r="J38" s="3"/>
      <c r="K38" s="11">
        <v>4</v>
      </c>
      <c r="L38" s="11">
        <v>4</v>
      </c>
      <c r="M38" s="21">
        <v>8</v>
      </c>
      <c r="N38" s="10" t="s">
        <v>68</v>
      </c>
      <c r="O38" s="41">
        <v>3.79</v>
      </c>
      <c r="P38" s="45">
        <f t="shared" si="0"/>
        <v>1.0554089709762533</v>
      </c>
      <c r="Q38" s="23">
        <f>8/3.79</f>
        <v>2.1108179419525066</v>
      </c>
    </row>
    <row r="39" spans="1:17" ht="15.75" x14ac:dyDescent="0.25">
      <c r="A39" s="3" t="s">
        <v>38</v>
      </c>
      <c r="B39" s="3">
        <v>1</v>
      </c>
      <c r="C39" s="3">
        <v>21</v>
      </c>
      <c r="D39" s="3"/>
      <c r="E39" s="3">
        <v>3</v>
      </c>
      <c r="F39" s="3">
        <v>30</v>
      </c>
      <c r="G39" s="3">
        <v>9</v>
      </c>
      <c r="H39" s="3"/>
      <c r="I39" s="3"/>
      <c r="J39" s="3">
        <v>1</v>
      </c>
      <c r="K39" s="11">
        <v>55</v>
      </c>
      <c r="L39" s="11">
        <v>10</v>
      </c>
      <c r="M39" s="21">
        <v>65</v>
      </c>
      <c r="N39" s="10" t="s">
        <v>76</v>
      </c>
      <c r="O39" s="41">
        <v>12.44</v>
      </c>
      <c r="P39" s="45">
        <f t="shared" si="0"/>
        <v>4.4212218649517689</v>
      </c>
      <c r="Q39" s="23">
        <f>65/12.44</f>
        <v>5.22508038585209</v>
      </c>
    </row>
    <row r="40" spans="1:17" ht="15.75" x14ac:dyDescent="0.25">
      <c r="A40" s="3" t="s">
        <v>39</v>
      </c>
      <c r="B40" s="3"/>
      <c r="C40" s="3">
        <v>1</v>
      </c>
      <c r="D40" s="3"/>
      <c r="E40" s="3"/>
      <c r="F40" s="3">
        <v>2</v>
      </c>
      <c r="G40" s="3">
        <v>1</v>
      </c>
      <c r="H40" s="3"/>
      <c r="I40" s="3"/>
      <c r="J40" s="3"/>
      <c r="K40" s="11">
        <v>3</v>
      </c>
      <c r="L40" s="11">
        <v>1</v>
      </c>
      <c r="M40" s="21">
        <v>4</v>
      </c>
      <c r="N40" s="10" t="s">
        <v>68</v>
      </c>
      <c r="O40" s="41">
        <v>1.05</v>
      </c>
      <c r="P40" s="45">
        <f t="shared" si="0"/>
        <v>2.8571428571428572</v>
      </c>
      <c r="Q40" s="23">
        <f>4/1.05</f>
        <v>3.8095238095238093</v>
      </c>
    </row>
    <row r="41" spans="1:17" ht="15.75" x14ac:dyDescent="0.25">
      <c r="A41" s="3" t="s">
        <v>40</v>
      </c>
      <c r="B41" s="3">
        <v>5</v>
      </c>
      <c r="C41" s="3">
        <v>13</v>
      </c>
      <c r="D41" s="3"/>
      <c r="E41" s="3"/>
      <c r="F41" s="3">
        <v>8</v>
      </c>
      <c r="G41" s="3">
        <v>6</v>
      </c>
      <c r="H41" s="3">
        <v>2</v>
      </c>
      <c r="I41" s="3"/>
      <c r="J41" s="3">
        <v>6</v>
      </c>
      <c r="K41" s="11">
        <v>28</v>
      </c>
      <c r="L41" s="11">
        <v>12</v>
      </c>
      <c r="M41" s="21">
        <v>40</v>
      </c>
      <c r="N41" s="10" t="s">
        <v>75</v>
      </c>
      <c r="O41" s="41">
        <v>4.47</v>
      </c>
      <c r="P41" s="45">
        <f t="shared" si="0"/>
        <v>6.2639821029082778</v>
      </c>
      <c r="Q41" s="23">
        <f>40/4.47</f>
        <v>8.9485458612975393</v>
      </c>
    </row>
    <row r="42" spans="1:17" ht="15.75" x14ac:dyDescent="0.25">
      <c r="A42" s="3" t="s">
        <v>41</v>
      </c>
      <c r="B42" s="3"/>
      <c r="C42" s="3">
        <v>2</v>
      </c>
      <c r="D42" s="3"/>
      <c r="E42" s="3"/>
      <c r="F42" s="3">
        <v>1</v>
      </c>
      <c r="G42" s="3"/>
      <c r="H42" s="3"/>
      <c r="I42" s="3"/>
      <c r="J42" s="3"/>
      <c r="K42" s="11">
        <v>3</v>
      </c>
      <c r="L42" s="11">
        <v>0</v>
      </c>
      <c r="M42" s="21">
        <v>3</v>
      </c>
      <c r="N42" s="10">
        <v>0</v>
      </c>
      <c r="O42" s="41">
        <v>0.8</v>
      </c>
      <c r="P42" s="45">
        <f t="shared" si="0"/>
        <v>3.75</v>
      </c>
      <c r="Q42" s="23">
        <f>3/0.8</f>
        <v>3.75</v>
      </c>
    </row>
    <row r="43" spans="1:17" ht="15.75" x14ac:dyDescent="0.25">
      <c r="A43" s="3" t="s">
        <v>42</v>
      </c>
      <c r="B43" s="3">
        <v>4</v>
      </c>
      <c r="C43" s="3">
        <v>20</v>
      </c>
      <c r="D43" s="3"/>
      <c r="E43" s="3">
        <v>1</v>
      </c>
      <c r="F43" s="3">
        <v>12</v>
      </c>
      <c r="G43" s="3">
        <v>6</v>
      </c>
      <c r="H43" s="3"/>
      <c r="I43" s="3"/>
      <c r="J43" s="3">
        <v>1</v>
      </c>
      <c r="K43" s="11">
        <v>34</v>
      </c>
      <c r="L43" s="11">
        <v>10</v>
      </c>
      <c r="M43" s="21">
        <v>44</v>
      </c>
      <c r="N43" s="10" t="s">
        <v>77</v>
      </c>
      <c r="O43" s="41">
        <v>6.21</v>
      </c>
      <c r="P43" s="45">
        <f t="shared" si="0"/>
        <v>5.4750402576489536</v>
      </c>
      <c r="Q43" s="23">
        <f>44/6.21</f>
        <v>7.0853462157809988</v>
      </c>
    </row>
    <row r="44" spans="1:17" ht="15.75" x14ac:dyDescent="0.25">
      <c r="A44" s="3" t="s">
        <v>43</v>
      </c>
      <c r="B44" s="3">
        <v>9</v>
      </c>
      <c r="C44" s="3">
        <v>62</v>
      </c>
      <c r="D44" s="3"/>
      <c r="E44" s="3">
        <v>10</v>
      </c>
      <c r="F44" s="3">
        <v>41</v>
      </c>
      <c r="G44" s="3">
        <v>8</v>
      </c>
      <c r="H44" s="3">
        <v>3</v>
      </c>
      <c r="I44" s="3">
        <v>4</v>
      </c>
      <c r="J44" s="3">
        <v>13</v>
      </c>
      <c r="K44" s="11">
        <v>127</v>
      </c>
      <c r="L44" s="11">
        <v>23</v>
      </c>
      <c r="M44" s="21">
        <v>150</v>
      </c>
      <c r="N44" s="10" t="s">
        <v>83</v>
      </c>
      <c r="O44" s="41">
        <v>24.32</v>
      </c>
      <c r="P44" s="45">
        <f t="shared" si="0"/>
        <v>5.2220394736842106</v>
      </c>
      <c r="Q44" s="23">
        <f>150/24.32</f>
        <v>6.1677631578947372</v>
      </c>
    </row>
    <row r="45" spans="1:17" ht="15.75" x14ac:dyDescent="0.25">
      <c r="A45" s="3" t="s">
        <v>44</v>
      </c>
      <c r="B45" s="3">
        <v>2</v>
      </c>
      <c r="C45" s="3">
        <v>2</v>
      </c>
      <c r="D45" s="3"/>
      <c r="E45" s="3"/>
      <c r="F45" s="3">
        <v>2</v>
      </c>
      <c r="G45" s="3"/>
      <c r="H45" s="3"/>
      <c r="I45" s="3"/>
      <c r="J45" s="3"/>
      <c r="K45" s="11">
        <v>4</v>
      </c>
      <c r="L45" s="11">
        <v>2</v>
      </c>
      <c r="M45" s="21">
        <v>6</v>
      </c>
      <c r="N45" s="10">
        <v>0</v>
      </c>
      <c r="O45" s="41">
        <v>2.73</v>
      </c>
      <c r="P45" s="45">
        <f t="shared" si="0"/>
        <v>1.4652014652014651</v>
      </c>
      <c r="Q45" s="23">
        <f>6/2.73</f>
        <v>2.197802197802198</v>
      </c>
    </row>
    <row r="46" spans="1:17" ht="15.75" x14ac:dyDescent="0.25">
      <c r="A46" s="3" t="s">
        <v>45</v>
      </c>
      <c r="B46" s="3">
        <v>1</v>
      </c>
      <c r="C46" s="3"/>
      <c r="D46" s="3"/>
      <c r="E46" s="3"/>
      <c r="F46" s="3">
        <v>3</v>
      </c>
      <c r="G46" s="3"/>
      <c r="H46" s="3"/>
      <c r="I46" s="3"/>
      <c r="J46" s="3"/>
      <c r="K46" s="11">
        <v>3</v>
      </c>
      <c r="L46" s="11">
        <v>1</v>
      </c>
      <c r="M46" s="21">
        <v>4</v>
      </c>
      <c r="N46" s="10">
        <v>0</v>
      </c>
      <c r="O46" s="41">
        <v>0.62</v>
      </c>
      <c r="P46" s="45">
        <f t="shared" si="0"/>
        <v>4.838709677419355</v>
      </c>
      <c r="Q46" s="23">
        <f>4/0.62</f>
        <v>6.4516129032258069</v>
      </c>
    </row>
    <row r="47" spans="1:17" ht="15.75" x14ac:dyDescent="0.25">
      <c r="A47" s="3" t="s">
        <v>78</v>
      </c>
      <c r="B47" s="3">
        <v>4</v>
      </c>
      <c r="C47" s="3">
        <v>13</v>
      </c>
      <c r="D47" s="3"/>
      <c r="E47" s="3">
        <v>2</v>
      </c>
      <c r="F47" s="3">
        <v>21</v>
      </c>
      <c r="G47" s="3">
        <v>6</v>
      </c>
      <c r="H47" s="3"/>
      <c r="I47" s="3"/>
      <c r="J47" s="3"/>
      <c r="K47" s="11">
        <v>36</v>
      </c>
      <c r="L47" s="11">
        <v>10</v>
      </c>
      <c r="M47" s="21">
        <v>46</v>
      </c>
      <c r="N47" s="10" t="s">
        <v>79</v>
      </c>
      <c r="O47" s="41">
        <v>7.76</v>
      </c>
      <c r="P47" s="45">
        <f t="shared" si="0"/>
        <v>4.6391752577319592</v>
      </c>
      <c r="Q47" s="23">
        <f>46/7.76</f>
        <v>5.927835051546392</v>
      </c>
    </row>
    <row r="48" spans="1:17" ht="15.75" x14ac:dyDescent="0.25">
      <c r="A48" s="3" t="s">
        <v>46</v>
      </c>
      <c r="B48" s="3">
        <v>1</v>
      </c>
      <c r="C48" s="3">
        <v>9</v>
      </c>
      <c r="D48" s="3"/>
      <c r="E48" s="3"/>
      <c r="F48" s="3">
        <v>11</v>
      </c>
      <c r="G48" s="3">
        <v>2</v>
      </c>
      <c r="H48" s="3"/>
      <c r="I48" s="3"/>
      <c r="J48" s="3"/>
      <c r="K48" s="11">
        <v>20</v>
      </c>
      <c r="L48" s="11">
        <v>3</v>
      </c>
      <c r="M48" s="21">
        <v>23</v>
      </c>
      <c r="N48" s="10" t="s">
        <v>82</v>
      </c>
      <c r="O48" s="41">
        <v>6.54</v>
      </c>
      <c r="P48" s="45">
        <f t="shared" si="0"/>
        <v>3.0581039755351682</v>
      </c>
      <c r="Q48" s="23">
        <f>23/6.54</f>
        <v>3.5168195718654434</v>
      </c>
    </row>
    <row r="49" spans="1:17" ht="15.75" x14ac:dyDescent="0.25">
      <c r="A49" s="3" t="s">
        <v>47</v>
      </c>
      <c r="B49" s="3"/>
      <c r="C49" s="3">
        <v>8</v>
      </c>
      <c r="D49" s="3"/>
      <c r="E49" s="3">
        <v>2</v>
      </c>
      <c r="F49" s="3">
        <v>4</v>
      </c>
      <c r="G49" s="3"/>
      <c r="H49" s="3"/>
      <c r="I49" s="3"/>
      <c r="J49" s="3">
        <v>2</v>
      </c>
      <c r="K49" s="11">
        <v>16</v>
      </c>
      <c r="L49" s="11">
        <v>0</v>
      </c>
      <c r="M49" s="21">
        <v>16</v>
      </c>
      <c r="N49" s="10" t="s">
        <v>80</v>
      </c>
      <c r="O49" s="41">
        <v>1.81</v>
      </c>
      <c r="P49" s="45">
        <f t="shared" si="0"/>
        <v>8.8397790055248624</v>
      </c>
      <c r="Q49" s="23">
        <f>16/1.81</f>
        <v>8.8397790055248624</v>
      </c>
    </row>
    <row r="50" spans="1:17" ht="15.75" x14ac:dyDescent="0.25">
      <c r="A50" s="3" t="s">
        <v>48</v>
      </c>
      <c r="B50" s="3"/>
      <c r="C50" s="3">
        <v>9</v>
      </c>
      <c r="D50" s="3"/>
      <c r="E50" s="3">
        <v>3</v>
      </c>
      <c r="F50" s="3">
        <v>5</v>
      </c>
      <c r="G50" s="3">
        <v>1</v>
      </c>
      <c r="H50" s="3"/>
      <c r="I50" s="3"/>
      <c r="J50" s="3"/>
      <c r="K50" s="11">
        <v>17</v>
      </c>
      <c r="L50" s="11">
        <v>1</v>
      </c>
      <c r="M50" s="21">
        <v>18</v>
      </c>
      <c r="N50" s="10" t="s">
        <v>79</v>
      </c>
      <c r="O50" s="41">
        <v>5.62</v>
      </c>
      <c r="P50" s="45">
        <f t="shared" si="0"/>
        <v>3.0249110320284696</v>
      </c>
      <c r="Q50" s="23">
        <f>18/5.62</f>
        <v>3.2028469750889679</v>
      </c>
    </row>
    <row r="51" spans="1:17" ht="15.75" x14ac:dyDescent="0.25">
      <c r="A51" s="3" t="s">
        <v>49</v>
      </c>
      <c r="B51" s="3">
        <v>2</v>
      </c>
      <c r="C51" s="3">
        <v>1</v>
      </c>
      <c r="D51" s="3"/>
      <c r="E51" s="3"/>
      <c r="F51" s="3"/>
      <c r="G51" s="3"/>
      <c r="H51" s="3"/>
      <c r="I51" s="3"/>
      <c r="J51" s="3"/>
      <c r="K51" s="11">
        <v>1</v>
      </c>
      <c r="L51" s="11">
        <v>2</v>
      </c>
      <c r="M51" s="21">
        <v>3</v>
      </c>
      <c r="N51" s="10">
        <v>0</v>
      </c>
      <c r="O51" s="41">
        <v>0.53</v>
      </c>
      <c r="P51" s="45">
        <f t="shared" si="0"/>
        <v>1.8867924528301885</v>
      </c>
      <c r="Q51" s="23">
        <f>3/0.53</f>
        <v>5.6603773584905657</v>
      </c>
    </row>
    <row r="52" spans="1:17" ht="15.75" x14ac:dyDescent="0.25">
      <c r="O52" s="42"/>
      <c r="P52" s="46"/>
    </row>
    <row r="53" spans="1:17" ht="15.75" x14ac:dyDescent="0.25">
      <c r="A53" s="29" t="s">
        <v>140</v>
      </c>
      <c r="K53" s="57">
        <f>SUM(K2:K51)</f>
        <v>1057</v>
      </c>
      <c r="L53" s="5">
        <f>SUM(L2:L51)</f>
        <v>294</v>
      </c>
      <c r="M53" s="5">
        <f>SUM(M2:M51)</f>
        <v>1345</v>
      </c>
      <c r="O53" s="42"/>
      <c r="P53" s="46"/>
    </row>
    <row r="54" spans="1:17" ht="15.75" x14ac:dyDescent="0.25">
      <c r="O54" s="42"/>
      <c r="P54" s="46"/>
    </row>
    <row r="55" spans="1:17" ht="15.75" x14ac:dyDescent="0.25">
      <c r="O55" s="42"/>
      <c r="P55" s="46"/>
    </row>
    <row r="56" spans="1:17" ht="15.75" x14ac:dyDescent="0.25">
      <c r="O56" s="42"/>
      <c r="P56" s="46"/>
    </row>
    <row r="57" spans="1:17" ht="15.75" x14ac:dyDescent="0.25">
      <c r="O57" s="42"/>
      <c r="P57" s="46"/>
    </row>
    <row r="58" spans="1:17" ht="15.75" x14ac:dyDescent="0.25">
      <c r="O58" s="42"/>
      <c r="P58" s="46"/>
    </row>
    <row r="60" spans="1:17" ht="15.75" x14ac:dyDescent="0.25">
      <c r="O60" s="42"/>
      <c r="P60" s="46"/>
    </row>
    <row r="61" spans="1:17" ht="15.75" x14ac:dyDescent="0.25">
      <c r="O61" s="42"/>
      <c r="P61" s="46"/>
    </row>
    <row r="62" spans="1:17" ht="15.75" x14ac:dyDescent="0.25">
      <c r="O62" s="42"/>
      <c r="P62" s="46"/>
    </row>
    <row r="63" spans="1:17" ht="15.75" x14ac:dyDescent="0.25">
      <c r="O63" s="42"/>
      <c r="P63" s="46"/>
    </row>
    <row r="64" spans="1:17" ht="15.75" x14ac:dyDescent="0.25">
      <c r="O64" s="42"/>
      <c r="P64" s="46"/>
    </row>
    <row r="65" spans="15:16" ht="15.75" x14ac:dyDescent="0.25">
      <c r="O65" s="42"/>
      <c r="P65" s="46"/>
    </row>
    <row r="66" spans="15:16" ht="15.75" x14ac:dyDescent="0.25">
      <c r="O66" s="42"/>
      <c r="P66" s="46"/>
    </row>
    <row r="68" spans="15:16" ht="15.75" x14ac:dyDescent="0.25">
      <c r="O68" s="42"/>
      <c r="P68" s="46"/>
    </row>
    <row r="69" spans="15:16" ht="15.75" x14ac:dyDescent="0.25">
      <c r="O69" s="42"/>
      <c r="P69" s="46"/>
    </row>
    <row r="70" spans="15:16" ht="15.75" x14ac:dyDescent="0.25">
      <c r="O70" s="42"/>
      <c r="P70" s="46"/>
    </row>
    <row r="71" spans="15:16" ht="15.75" x14ac:dyDescent="0.25">
      <c r="O71" s="42"/>
      <c r="P71" s="46"/>
    </row>
    <row r="72" spans="15:16" ht="15.75" x14ac:dyDescent="0.25">
      <c r="O72" s="42"/>
      <c r="P72" s="46"/>
    </row>
    <row r="74" spans="15:16" ht="15.75" x14ac:dyDescent="0.25">
      <c r="O74" s="42"/>
      <c r="P74" s="46"/>
    </row>
    <row r="75" spans="15:16" ht="15.75" x14ac:dyDescent="0.25">
      <c r="O75" s="42"/>
      <c r="P75" s="46"/>
    </row>
    <row r="76" spans="15:16" ht="15.75" x14ac:dyDescent="0.25">
      <c r="O76" s="42"/>
      <c r="P76" s="46"/>
    </row>
    <row r="77" spans="15:16" ht="15.75" x14ac:dyDescent="0.25">
      <c r="O77" s="42"/>
      <c r="P77" s="46"/>
    </row>
    <row r="78" spans="15:16" ht="15.75" x14ac:dyDescent="0.25">
      <c r="O78" s="42"/>
      <c r="P78" s="46"/>
    </row>
    <row r="79" spans="15:16" ht="15.75" x14ac:dyDescent="0.25">
      <c r="O79" s="42"/>
      <c r="P79" s="46"/>
    </row>
    <row r="80" spans="15:16" ht="15.75" x14ac:dyDescent="0.25">
      <c r="O80" s="42"/>
      <c r="P80" s="46"/>
    </row>
    <row r="81" spans="15:16" ht="15.75" x14ac:dyDescent="0.25">
      <c r="O81" s="42"/>
      <c r="P81" s="46"/>
    </row>
    <row r="82" spans="15:16" ht="15.75" x14ac:dyDescent="0.25">
      <c r="O82" s="42"/>
      <c r="P82" s="46"/>
    </row>
    <row r="83" spans="15:16" ht="15.75" x14ac:dyDescent="0.25">
      <c r="O83" s="42"/>
      <c r="P83" s="46"/>
    </row>
    <row r="85" spans="15:16" ht="15.75" x14ac:dyDescent="0.25">
      <c r="O85" s="42"/>
      <c r="P85" s="46"/>
    </row>
    <row r="86" spans="15:16" ht="15.75" x14ac:dyDescent="0.25">
      <c r="O86" s="42"/>
      <c r="P86" s="46"/>
    </row>
    <row r="87" spans="15:16" ht="15.75" x14ac:dyDescent="0.25">
      <c r="O87" s="42"/>
      <c r="P87" s="46"/>
    </row>
    <row r="88" spans="15:16" ht="15.75" x14ac:dyDescent="0.25">
      <c r="O88" s="42"/>
      <c r="P88" s="46"/>
    </row>
    <row r="89" spans="15:16" ht="15.75" x14ac:dyDescent="0.25">
      <c r="O89" s="42"/>
      <c r="P89" s="46"/>
    </row>
    <row r="90" spans="15:16" ht="15.75" x14ac:dyDescent="0.25">
      <c r="O90" s="42"/>
      <c r="P90" s="46"/>
    </row>
    <row r="91" spans="15:16" ht="15.75" x14ac:dyDescent="0.25">
      <c r="O91" s="42"/>
      <c r="P91" s="46"/>
    </row>
    <row r="92" spans="15:16" ht="15.75" x14ac:dyDescent="0.25">
      <c r="O92" s="42"/>
      <c r="P92" s="46"/>
    </row>
    <row r="93" spans="15:16" ht="15.75" x14ac:dyDescent="0.25">
      <c r="O93" s="42"/>
      <c r="P93" s="46"/>
    </row>
    <row r="94" spans="15:16" ht="15.75" x14ac:dyDescent="0.25">
      <c r="O94" s="42"/>
      <c r="P94" s="46"/>
    </row>
    <row r="96" spans="15:16" ht="15.75" x14ac:dyDescent="0.25">
      <c r="O96" s="42"/>
      <c r="P96" s="46"/>
    </row>
    <row r="97" spans="15:16" ht="15.75" x14ac:dyDescent="0.25">
      <c r="O97" s="42"/>
      <c r="P97" s="46"/>
    </row>
    <row r="98" spans="15:16" ht="15.75" x14ac:dyDescent="0.25">
      <c r="O98" s="42"/>
      <c r="P98" s="46"/>
    </row>
    <row r="99" spans="15:16" ht="15.75" x14ac:dyDescent="0.25">
      <c r="O99" s="42"/>
      <c r="P99" s="46"/>
    </row>
    <row r="100" spans="15:16" ht="15.75" x14ac:dyDescent="0.25">
      <c r="O100" s="42"/>
      <c r="P100" s="46"/>
    </row>
    <row r="101" spans="15:16" ht="15.75" x14ac:dyDescent="0.25">
      <c r="O101" s="42"/>
      <c r="P101" s="46"/>
    </row>
    <row r="115" spans="15:16" ht="15.75" x14ac:dyDescent="0.25">
      <c r="O115" s="42"/>
      <c r="P115" s="46"/>
    </row>
    <row r="116" spans="15:16" ht="15.75" x14ac:dyDescent="0.25">
      <c r="O116" s="42"/>
      <c r="P116" s="46"/>
    </row>
    <row r="117" spans="15:16" ht="15.75" x14ac:dyDescent="0.25">
      <c r="O117" s="42"/>
      <c r="P117" s="46"/>
    </row>
    <row r="118" spans="15:16" ht="15.75" x14ac:dyDescent="0.25">
      <c r="O118" s="42"/>
      <c r="P118" s="46"/>
    </row>
    <row r="119" spans="15:16" ht="15.75" x14ac:dyDescent="0.25">
      <c r="O119" s="42"/>
      <c r="P119" s="46"/>
    </row>
    <row r="120" spans="15:16" ht="15.75" x14ac:dyDescent="0.25">
      <c r="O120" s="42"/>
      <c r="P120" s="46"/>
    </row>
    <row r="121" spans="15:16" ht="15.75" x14ac:dyDescent="0.25">
      <c r="O121" s="42"/>
      <c r="P121" s="46"/>
    </row>
    <row r="122" spans="15:16" ht="15.75" x14ac:dyDescent="0.25">
      <c r="O122" s="42"/>
      <c r="P122" s="46"/>
    </row>
    <row r="123" spans="15:16" ht="15.75" x14ac:dyDescent="0.25">
      <c r="O123" s="42"/>
      <c r="P123" s="46"/>
    </row>
    <row r="124" spans="15:16" ht="15.75" x14ac:dyDescent="0.25">
      <c r="O124" s="42"/>
      <c r="P124" s="46"/>
    </row>
    <row r="137" spans="15:16" ht="15.75" x14ac:dyDescent="0.25">
      <c r="O137" s="42"/>
      <c r="P137" s="46"/>
    </row>
    <row r="138" spans="15:16" ht="15.75" x14ac:dyDescent="0.25">
      <c r="O138" s="42"/>
      <c r="P138" s="46"/>
    </row>
    <row r="139" spans="15:16" ht="15.75" x14ac:dyDescent="0.25">
      <c r="O139" s="42"/>
      <c r="P139" s="46"/>
    </row>
    <row r="140" spans="15:16" ht="15.75" x14ac:dyDescent="0.25">
      <c r="O140" s="42"/>
      <c r="P140" s="46"/>
    </row>
    <row r="141" spans="15:16" ht="15.75" x14ac:dyDescent="0.25">
      <c r="O141" s="42"/>
      <c r="P141" s="46"/>
    </row>
    <row r="142" spans="15:16" ht="15.75" x14ac:dyDescent="0.25">
      <c r="O142" s="42"/>
      <c r="P142" s="46"/>
    </row>
    <row r="143" spans="15:16" ht="15.75" x14ac:dyDescent="0.25">
      <c r="O143" s="42"/>
      <c r="P143" s="46"/>
    </row>
    <row r="144" spans="15:16" ht="15.75" x14ac:dyDescent="0.25">
      <c r="O144" s="42"/>
      <c r="P144" s="46"/>
    </row>
    <row r="145" spans="15:16" ht="15.75" x14ac:dyDescent="0.25">
      <c r="O145" s="42"/>
      <c r="P145" s="46"/>
    </row>
    <row r="146" spans="15:16" ht="15.75" x14ac:dyDescent="0.25">
      <c r="O146" s="42"/>
      <c r="P146" s="46"/>
    </row>
    <row r="148" spans="15:16" ht="15.75" x14ac:dyDescent="0.25">
      <c r="O148" s="42"/>
      <c r="P148" s="46"/>
    </row>
    <row r="149" spans="15:16" ht="15.75" x14ac:dyDescent="0.25">
      <c r="O149" s="42"/>
      <c r="P149" s="46"/>
    </row>
    <row r="150" spans="15:16" ht="15.75" x14ac:dyDescent="0.25">
      <c r="O150" s="42"/>
      <c r="P150" s="46"/>
    </row>
    <row r="151" spans="15:16" ht="15.75" x14ac:dyDescent="0.25">
      <c r="O151" s="42"/>
      <c r="P151" s="46"/>
    </row>
    <row r="152" spans="15:16" ht="15.75" x14ac:dyDescent="0.25">
      <c r="O152" s="42"/>
      <c r="P152" s="46"/>
    </row>
    <row r="153" spans="15:16" ht="15.75" x14ac:dyDescent="0.25">
      <c r="O153" s="42"/>
      <c r="P153" s="46"/>
    </row>
    <row r="154" spans="15:16" ht="15.75" x14ac:dyDescent="0.25">
      <c r="O154" s="42"/>
      <c r="P154" s="46"/>
    </row>
    <row r="155" spans="15:16" ht="15.75" x14ac:dyDescent="0.25">
      <c r="O155" s="42"/>
      <c r="P155" s="46"/>
    </row>
    <row r="156" spans="15:16" ht="15.75" x14ac:dyDescent="0.25">
      <c r="O156" s="42"/>
      <c r="P156" s="46"/>
    </row>
    <row r="157" spans="15:16" ht="15.75" x14ac:dyDescent="0.25">
      <c r="O157" s="42"/>
      <c r="P157" s="46"/>
    </row>
    <row r="158" spans="15:16" ht="15.75" x14ac:dyDescent="0.25">
      <c r="O158" s="43">
        <v>4269245</v>
      </c>
      <c r="P158" s="47"/>
    </row>
    <row r="159" spans="15:16" ht="15.75" x14ac:dyDescent="0.25">
      <c r="O159" s="42"/>
      <c r="P159" s="46"/>
    </row>
    <row r="160" spans="15:16" ht="15.75" x14ac:dyDescent="0.25">
      <c r="O160" s="42"/>
      <c r="P160" s="46"/>
    </row>
    <row r="161" spans="15:16" ht="15.75" x14ac:dyDescent="0.25">
      <c r="O161" s="42"/>
      <c r="P161" s="46"/>
    </row>
    <row r="162" spans="15:16" ht="15.75" x14ac:dyDescent="0.25">
      <c r="O162" s="42"/>
      <c r="P162" s="46"/>
    </row>
    <row r="163" spans="15:16" ht="15.75" x14ac:dyDescent="0.25">
      <c r="O163" s="42"/>
      <c r="P163" s="46"/>
    </row>
    <row r="164" spans="15:16" ht="15.75" x14ac:dyDescent="0.25">
      <c r="O164" s="42"/>
      <c r="P164" s="46"/>
    </row>
    <row r="165" spans="15:16" ht="15.75" x14ac:dyDescent="0.25">
      <c r="O165" s="42"/>
      <c r="P165" s="46"/>
    </row>
    <row r="166" spans="15:16" ht="15.75" x14ac:dyDescent="0.25">
      <c r="O166" s="42"/>
      <c r="P166" s="46"/>
    </row>
    <row r="167" spans="15:16" ht="15.75" x14ac:dyDescent="0.25">
      <c r="O167" s="42"/>
      <c r="P167" s="46"/>
    </row>
    <row r="168" spans="15:16" ht="15.75" x14ac:dyDescent="0.25">
      <c r="O168" s="42"/>
      <c r="P168" s="46"/>
    </row>
    <row r="169" spans="15:16" ht="15.75" x14ac:dyDescent="0.25">
      <c r="O169" s="43">
        <v>4410796</v>
      </c>
      <c r="P169" s="47"/>
    </row>
    <row r="170" spans="15:16" ht="15.75" x14ac:dyDescent="0.25">
      <c r="O170" s="42"/>
      <c r="P170" s="46"/>
    </row>
    <row r="171" spans="15:16" ht="15.75" x14ac:dyDescent="0.25">
      <c r="O171" s="42"/>
      <c r="P171" s="46"/>
    </row>
    <row r="172" spans="15:16" ht="15.75" x14ac:dyDescent="0.25">
      <c r="O172" s="42"/>
      <c r="P172" s="46"/>
    </row>
    <row r="173" spans="15:16" ht="15.75" x14ac:dyDescent="0.25">
      <c r="O173" s="42"/>
      <c r="P173" s="46"/>
    </row>
    <row r="174" spans="15:16" ht="15.75" x14ac:dyDescent="0.25">
      <c r="O174" s="42"/>
      <c r="P174" s="46"/>
    </row>
    <row r="175" spans="15:16" ht="15.75" x14ac:dyDescent="0.25">
      <c r="O175" s="42"/>
      <c r="P175" s="46"/>
    </row>
    <row r="176" spans="15:16" ht="15.75" x14ac:dyDescent="0.25">
      <c r="O176" s="42"/>
      <c r="P176" s="46"/>
    </row>
    <row r="177" spans="15:16" ht="15.75" x14ac:dyDescent="0.25">
      <c r="O177" s="43">
        <v>1316456</v>
      </c>
      <c r="P177" s="4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22" zoomScale="85" zoomScaleNormal="85" workbookViewId="0">
      <selection activeCell="K53" sqref="K53"/>
    </sheetView>
  </sheetViews>
  <sheetFormatPr defaultRowHeight="15" x14ac:dyDescent="0.25"/>
  <cols>
    <col min="1" max="1" width="20.140625" bestFit="1" customWidth="1"/>
    <col min="2" max="2" width="3.7109375" customWidth="1"/>
    <col min="3" max="3" width="3.5703125" customWidth="1"/>
    <col min="4" max="4" width="3.42578125" customWidth="1"/>
    <col min="5" max="5" width="4.140625" customWidth="1"/>
    <col min="6" max="6" width="3.42578125" customWidth="1"/>
    <col min="7" max="7" width="3.140625" customWidth="1"/>
    <col min="8" max="8" width="3.7109375" customWidth="1"/>
    <col min="9" max="9" width="3.42578125" customWidth="1"/>
    <col min="10" max="10" width="4.140625" customWidth="1"/>
    <col min="11" max="11" width="12.7109375" customWidth="1"/>
    <col min="12" max="12" width="10.85546875" customWidth="1"/>
    <col min="13" max="13" width="20.42578125" customWidth="1"/>
    <col min="14" max="14" width="20.28515625" customWidth="1"/>
    <col min="15" max="15" width="16.28515625" style="31" customWidth="1"/>
    <col min="16" max="16" width="16.28515625" style="36" customWidth="1"/>
    <col min="17" max="17" width="21.42578125" style="39" hidden="1" customWidth="1"/>
  </cols>
  <sheetData>
    <row r="1" spans="1:17" ht="18.75" x14ac:dyDescent="0.3">
      <c r="A1" s="1" t="s">
        <v>60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50</v>
      </c>
      <c r="G1" s="12" t="s">
        <v>51</v>
      </c>
      <c r="H1" s="12" t="s">
        <v>56</v>
      </c>
      <c r="I1" s="12" t="s">
        <v>57</v>
      </c>
      <c r="J1" s="12" t="s">
        <v>58</v>
      </c>
      <c r="K1" s="13" t="s">
        <v>0</v>
      </c>
      <c r="L1" s="13" t="s">
        <v>1</v>
      </c>
      <c r="M1" s="19" t="s">
        <v>61</v>
      </c>
      <c r="N1" s="8" t="s">
        <v>64</v>
      </c>
      <c r="O1" s="31" t="s">
        <v>124</v>
      </c>
      <c r="P1" s="33" t="s">
        <v>141</v>
      </c>
      <c r="Q1" s="37" t="s">
        <v>125</v>
      </c>
    </row>
    <row r="2" spans="1:17" ht="15.75" x14ac:dyDescent="0.25">
      <c r="A2" s="3" t="s">
        <v>2</v>
      </c>
      <c r="B2" s="3">
        <v>2</v>
      </c>
      <c r="C2" s="3">
        <v>16</v>
      </c>
      <c r="D2" s="3"/>
      <c r="E2" s="3">
        <v>2</v>
      </c>
      <c r="F2" s="3">
        <v>15</v>
      </c>
      <c r="G2" s="3">
        <v>4</v>
      </c>
      <c r="H2" s="3">
        <v>2</v>
      </c>
      <c r="I2" s="3">
        <v>2</v>
      </c>
      <c r="J2" s="3">
        <v>1</v>
      </c>
      <c r="K2" s="11">
        <v>34</v>
      </c>
      <c r="L2" s="11">
        <v>10</v>
      </c>
      <c r="M2" s="21">
        <v>44</v>
      </c>
      <c r="N2" s="11" t="s">
        <v>84</v>
      </c>
      <c r="O2" s="32">
        <v>4.67</v>
      </c>
      <c r="P2" s="34">
        <f>K2/O2</f>
        <v>7.2805139186295502</v>
      </c>
      <c r="Q2" s="38">
        <f>44/4.67</f>
        <v>9.4218415417558887</v>
      </c>
    </row>
    <row r="3" spans="1:17" ht="15.75" x14ac:dyDescent="0.25">
      <c r="A3" s="7" t="s">
        <v>3</v>
      </c>
      <c r="B3" s="3"/>
      <c r="C3" s="3"/>
      <c r="D3" s="3"/>
      <c r="E3" s="3"/>
      <c r="F3" s="3">
        <v>1</v>
      </c>
      <c r="G3" s="3">
        <v>1</v>
      </c>
      <c r="H3" s="3">
        <v>1</v>
      </c>
      <c r="I3" s="3"/>
      <c r="J3" s="3"/>
      <c r="K3" s="11">
        <v>2</v>
      </c>
      <c r="L3" s="11">
        <v>1</v>
      </c>
      <c r="M3" s="21">
        <v>3</v>
      </c>
      <c r="N3" s="11" t="s">
        <v>65</v>
      </c>
      <c r="O3" s="32">
        <v>0.68</v>
      </c>
      <c r="P3" s="34">
        <f t="shared" ref="P3:P51" si="0">K3/O3</f>
        <v>2.9411764705882351</v>
      </c>
      <c r="Q3" s="38">
        <f>3/0.68</f>
        <v>4.4117647058823524</v>
      </c>
    </row>
    <row r="4" spans="1:17" ht="15.75" x14ac:dyDescent="0.25">
      <c r="A4" s="3" t="s">
        <v>4</v>
      </c>
      <c r="B4" s="3">
        <v>4</v>
      </c>
      <c r="C4" s="3">
        <v>17</v>
      </c>
      <c r="D4" s="3"/>
      <c r="E4" s="3">
        <v>1</v>
      </c>
      <c r="F4" s="3">
        <v>10</v>
      </c>
      <c r="G4" s="3"/>
      <c r="H4" s="3"/>
      <c r="I4" s="3"/>
      <c r="J4" s="3">
        <v>2</v>
      </c>
      <c r="K4" s="11">
        <f>C4+E4+F4+J4</f>
        <v>30</v>
      </c>
      <c r="L4" s="11">
        <v>4</v>
      </c>
      <c r="M4" s="21">
        <v>34</v>
      </c>
      <c r="N4" s="11" t="s">
        <v>86</v>
      </c>
      <c r="O4" s="32">
        <v>6.49</v>
      </c>
      <c r="P4" s="34">
        <f t="shared" si="0"/>
        <v>4.6224961479198763</v>
      </c>
      <c r="Q4" s="38">
        <f>34/6.49</f>
        <v>5.2388289676425268</v>
      </c>
    </row>
    <row r="5" spans="1:17" ht="15.75" x14ac:dyDescent="0.25">
      <c r="A5" s="3" t="s">
        <v>5</v>
      </c>
      <c r="B5" s="3">
        <v>4</v>
      </c>
      <c r="C5" s="3">
        <v>4</v>
      </c>
      <c r="D5" s="3">
        <v>1</v>
      </c>
      <c r="E5" s="3"/>
      <c r="F5" s="3">
        <v>6</v>
      </c>
      <c r="G5" s="3">
        <v>1</v>
      </c>
      <c r="H5" s="3"/>
      <c r="I5" s="3"/>
      <c r="J5" s="3"/>
      <c r="K5" s="11">
        <f>C5+F5</f>
        <v>10</v>
      </c>
      <c r="L5" s="11">
        <f>B5+D5+G5</f>
        <v>6</v>
      </c>
      <c r="M5" s="21">
        <v>16</v>
      </c>
      <c r="N5" s="11">
        <v>0</v>
      </c>
      <c r="O5" s="32">
        <v>2.86</v>
      </c>
      <c r="P5" s="34">
        <f t="shared" si="0"/>
        <v>3.4965034965034967</v>
      </c>
      <c r="Q5" s="38">
        <f>16/2.86</f>
        <v>5.594405594405595</v>
      </c>
    </row>
    <row r="6" spans="1:17" ht="15.75" x14ac:dyDescent="0.25">
      <c r="A6" s="3" t="s">
        <v>6</v>
      </c>
      <c r="B6" s="3">
        <v>4</v>
      </c>
      <c r="C6" s="3">
        <v>59</v>
      </c>
      <c r="D6" s="3">
        <v>1</v>
      </c>
      <c r="E6" s="3">
        <v>7</v>
      </c>
      <c r="F6" s="3">
        <v>46</v>
      </c>
      <c r="G6" s="3">
        <v>12</v>
      </c>
      <c r="H6" s="3">
        <v>12</v>
      </c>
      <c r="I6" s="3">
        <v>1</v>
      </c>
      <c r="J6" s="3">
        <v>1</v>
      </c>
      <c r="K6" s="11">
        <v>116</v>
      </c>
      <c r="L6" s="11">
        <f>M6-K6</f>
        <v>27</v>
      </c>
      <c r="M6" s="21">
        <v>143</v>
      </c>
      <c r="N6" s="11" t="s">
        <v>87</v>
      </c>
      <c r="O6" s="32">
        <v>36.58</v>
      </c>
      <c r="P6" s="34">
        <f t="shared" si="0"/>
        <v>3.1711317659923455</v>
      </c>
      <c r="Q6" s="38">
        <f>143/36.58</f>
        <v>3.9092400218698744</v>
      </c>
    </row>
    <row r="7" spans="1:17" ht="15.75" x14ac:dyDescent="0.25">
      <c r="A7" s="3" t="s">
        <v>7</v>
      </c>
      <c r="B7" s="3">
        <v>2</v>
      </c>
      <c r="C7" s="3">
        <v>8</v>
      </c>
      <c r="D7" s="3"/>
      <c r="E7" s="3">
        <v>3</v>
      </c>
      <c r="F7" s="3">
        <v>6</v>
      </c>
      <c r="G7" s="3">
        <v>4</v>
      </c>
      <c r="H7" s="3"/>
      <c r="I7" s="3">
        <v>1</v>
      </c>
      <c r="J7" s="3"/>
      <c r="K7" s="11">
        <v>17</v>
      </c>
      <c r="L7" s="11">
        <v>7</v>
      </c>
      <c r="M7" s="21">
        <f>SUM(K7:L7)</f>
        <v>24</v>
      </c>
      <c r="N7" s="11" t="s">
        <v>85</v>
      </c>
      <c r="O7" s="32">
        <v>4.93</v>
      </c>
      <c r="P7" s="34">
        <f t="shared" si="0"/>
        <v>3.4482758620689657</v>
      </c>
      <c r="Q7" s="38">
        <f>24/4.93</f>
        <v>4.8681541582150105</v>
      </c>
    </row>
    <row r="8" spans="1:17" ht="15.75" x14ac:dyDescent="0.25">
      <c r="A8" s="3" t="s">
        <v>8</v>
      </c>
      <c r="B8" s="3"/>
      <c r="C8" s="3">
        <v>3</v>
      </c>
      <c r="D8" s="3"/>
      <c r="E8" s="3"/>
      <c r="F8" s="3">
        <v>3</v>
      </c>
      <c r="G8" s="3"/>
      <c r="H8" s="3"/>
      <c r="I8" s="3"/>
      <c r="J8" s="3">
        <v>1</v>
      </c>
      <c r="K8" s="11">
        <v>7</v>
      </c>
      <c r="L8" s="11">
        <v>0</v>
      </c>
      <c r="M8" s="21">
        <v>7</v>
      </c>
      <c r="N8" s="11" t="s">
        <v>88</v>
      </c>
      <c r="O8" s="32">
        <v>3.5</v>
      </c>
      <c r="P8" s="34">
        <f t="shared" si="0"/>
        <v>2</v>
      </c>
      <c r="Q8" s="38">
        <f>7/3.5</f>
        <v>2</v>
      </c>
    </row>
    <row r="9" spans="1:17" ht="15.75" x14ac:dyDescent="0.25">
      <c r="A9" s="3" t="s">
        <v>9</v>
      </c>
      <c r="B9" s="3"/>
      <c r="C9" s="3">
        <v>2</v>
      </c>
      <c r="D9" s="3"/>
      <c r="E9" s="3"/>
      <c r="F9" s="3"/>
      <c r="G9" s="3">
        <v>1</v>
      </c>
      <c r="H9" s="3"/>
      <c r="I9" s="3"/>
      <c r="J9" s="3"/>
      <c r="K9" s="11">
        <v>2</v>
      </c>
      <c r="L9" s="11">
        <v>1</v>
      </c>
      <c r="M9" s="21">
        <v>3</v>
      </c>
      <c r="N9" s="11" t="s">
        <v>80</v>
      </c>
      <c r="O9" s="32">
        <v>0.87</v>
      </c>
      <c r="P9" s="34">
        <f t="shared" si="0"/>
        <v>2.2988505747126435</v>
      </c>
      <c r="Q9" s="38">
        <f>3/0.87</f>
        <v>3.4482758620689657</v>
      </c>
    </row>
    <row r="10" spans="1:17" ht="15.75" x14ac:dyDescent="0.25">
      <c r="A10" s="3" t="s">
        <v>10</v>
      </c>
      <c r="B10" s="3" t="s">
        <v>62</v>
      </c>
      <c r="C10" s="3"/>
      <c r="D10" s="3" t="s">
        <v>63</v>
      </c>
      <c r="E10" s="3"/>
      <c r="F10" s="3" t="s">
        <v>63</v>
      </c>
      <c r="G10" s="3"/>
      <c r="H10" s="3" t="s">
        <v>63</v>
      </c>
      <c r="I10" s="3"/>
      <c r="J10" s="3" t="s">
        <v>63</v>
      </c>
      <c r="K10" s="11" t="s">
        <v>63</v>
      </c>
      <c r="L10" s="11" t="s">
        <v>63</v>
      </c>
      <c r="M10" s="21" t="s">
        <v>62</v>
      </c>
      <c r="N10" s="11"/>
      <c r="O10" s="32">
        <v>18423878</v>
      </c>
      <c r="P10" s="34"/>
      <c r="Q10" s="38"/>
    </row>
    <row r="11" spans="1:17" ht="15.75" x14ac:dyDescent="0.25">
      <c r="A11" s="3" t="s">
        <v>11</v>
      </c>
      <c r="B11" s="3">
        <v>8</v>
      </c>
      <c r="C11" s="3">
        <v>29</v>
      </c>
      <c r="D11" s="3">
        <v>1</v>
      </c>
      <c r="E11" s="3">
        <v>2</v>
      </c>
      <c r="F11" s="3">
        <v>16</v>
      </c>
      <c r="G11" s="3">
        <v>8</v>
      </c>
      <c r="H11" s="3">
        <v>2</v>
      </c>
      <c r="I11" s="3"/>
      <c r="J11" s="3"/>
      <c r="K11" s="11">
        <f>C11+E11+F11</f>
        <v>47</v>
      </c>
      <c r="L11" s="11">
        <f>B11+D11+G11+H11</f>
        <v>19</v>
      </c>
      <c r="M11" s="21">
        <f>SUM(K11:L11)</f>
        <v>66</v>
      </c>
      <c r="N11" s="11" t="s">
        <v>89</v>
      </c>
      <c r="O11" s="32">
        <v>9.69</v>
      </c>
      <c r="P11" s="34">
        <f t="shared" si="0"/>
        <v>4.8503611971104235</v>
      </c>
      <c r="Q11" s="38">
        <f>66/9.69</f>
        <v>6.8111455108359138</v>
      </c>
    </row>
    <row r="12" spans="1:17" ht="15.75" x14ac:dyDescent="0.25">
      <c r="A12" s="7" t="s">
        <v>12</v>
      </c>
      <c r="B12" s="3">
        <v>2</v>
      </c>
      <c r="C12" s="3"/>
      <c r="D12" s="3"/>
      <c r="E12" s="3"/>
      <c r="F12" s="3">
        <v>1</v>
      </c>
      <c r="G12" s="3">
        <v>1</v>
      </c>
      <c r="H12" s="3"/>
      <c r="I12" s="3"/>
      <c r="J12" s="3"/>
      <c r="K12" s="11">
        <v>3</v>
      </c>
      <c r="L12" s="11">
        <v>1</v>
      </c>
      <c r="M12" s="21">
        <v>4</v>
      </c>
      <c r="N12" s="11">
        <v>0</v>
      </c>
      <c r="O12" s="32">
        <v>1.28</v>
      </c>
      <c r="P12" s="34">
        <f t="shared" si="0"/>
        <v>2.34375</v>
      </c>
      <c r="Q12" s="38">
        <f>4/1.28</f>
        <v>3.125</v>
      </c>
    </row>
    <row r="13" spans="1:17" ht="15.75" x14ac:dyDescent="0.25">
      <c r="A13" s="3" t="s">
        <v>13</v>
      </c>
      <c r="B13" s="3"/>
      <c r="C13" s="3">
        <v>3</v>
      </c>
      <c r="D13" s="3"/>
      <c r="E13" s="3"/>
      <c r="F13" s="3"/>
      <c r="G13" s="3">
        <v>1</v>
      </c>
      <c r="H13" s="3"/>
      <c r="I13" s="3"/>
      <c r="J13" s="3"/>
      <c r="K13" s="11">
        <v>3</v>
      </c>
      <c r="L13" s="11">
        <v>1</v>
      </c>
      <c r="M13" s="21">
        <v>4</v>
      </c>
      <c r="N13" s="11" t="s">
        <v>81</v>
      </c>
      <c r="O13" s="32">
        <v>1.52</v>
      </c>
      <c r="P13" s="34">
        <f t="shared" si="0"/>
        <v>1.9736842105263157</v>
      </c>
      <c r="Q13" s="38">
        <f>4/1.52</f>
        <v>2.6315789473684212</v>
      </c>
    </row>
    <row r="14" spans="1:17" ht="15.75" x14ac:dyDescent="0.25">
      <c r="A14" s="3" t="s">
        <v>14</v>
      </c>
      <c r="B14" s="3">
        <v>1</v>
      </c>
      <c r="C14" s="3">
        <v>3</v>
      </c>
      <c r="D14" s="3"/>
      <c r="E14" s="3"/>
      <c r="F14" s="3">
        <v>6</v>
      </c>
      <c r="G14" s="3">
        <v>3</v>
      </c>
      <c r="H14" s="3"/>
      <c r="I14" s="3"/>
      <c r="J14" s="3"/>
      <c r="K14" s="11">
        <v>9</v>
      </c>
      <c r="L14" s="11">
        <v>4</v>
      </c>
      <c r="M14" s="21">
        <f>SUM(K14:L14)</f>
        <v>13</v>
      </c>
      <c r="N14" s="11" t="s">
        <v>88</v>
      </c>
      <c r="O14" s="32">
        <v>12.84</v>
      </c>
      <c r="P14" s="34">
        <f t="shared" si="0"/>
        <v>0.7009345794392523</v>
      </c>
      <c r="Q14" s="38">
        <f>13/12.84</f>
        <v>1.0124610591900312</v>
      </c>
    </row>
    <row r="15" spans="1:17" ht="15.75" x14ac:dyDescent="0.25">
      <c r="A15" s="3" t="s">
        <v>15</v>
      </c>
      <c r="B15" s="3">
        <v>5</v>
      </c>
      <c r="C15" s="3">
        <v>6</v>
      </c>
      <c r="D15" s="3"/>
      <c r="E15" s="3">
        <v>1</v>
      </c>
      <c r="F15" s="3">
        <v>15</v>
      </c>
      <c r="G15" s="3">
        <v>4</v>
      </c>
      <c r="H15" s="3">
        <v>1</v>
      </c>
      <c r="I15" s="3"/>
      <c r="J15" s="3"/>
      <c r="K15" s="11">
        <f>C15+E15+F15</f>
        <v>22</v>
      </c>
      <c r="L15" s="11">
        <f>B15+G15+H15</f>
        <v>10</v>
      </c>
      <c r="M15" s="21">
        <v>32</v>
      </c>
      <c r="N15" s="11" t="s">
        <v>80</v>
      </c>
      <c r="O15" s="32">
        <v>6.38</v>
      </c>
      <c r="P15" s="34">
        <f t="shared" si="0"/>
        <v>3.4482758620689657</v>
      </c>
      <c r="Q15" s="38">
        <f>32/6.38</f>
        <v>5.015673981191223</v>
      </c>
    </row>
    <row r="16" spans="1:17" ht="15.75" x14ac:dyDescent="0.25">
      <c r="A16" s="3" t="s">
        <v>16</v>
      </c>
      <c r="B16" s="3"/>
      <c r="C16" s="3">
        <v>4</v>
      </c>
      <c r="D16" s="3"/>
      <c r="E16" s="3">
        <v>1</v>
      </c>
      <c r="F16" s="3">
        <v>2</v>
      </c>
      <c r="G16" s="3"/>
      <c r="H16" s="3"/>
      <c r="I16" s="3">
        <v>1</v>
      </c>
      <c r="J16" s="3"/>
      <c r="K16" s="11">
        <v>7</v>
      </c>
      <c r="L16" s="11">
        <v>1</v>
      </c>
      <c r="M16" s="21">
        <v>8</v>
      </c>
      <c r="N16" s="11">
        <v>0</v>
      </c>
      <c r="O16" s="32">
        <v>2.99</v>
      </c>
      <c r="P16" s="34">
        <f t="shared" si="0"/>
        <v>2.3411371237458192</v>
      </c>
      <c r="Q16" s="38">
        <f>8/2.99</f>
        <v>2.6755852842809364</v>
      </c>
    </row>
    <row r="17" spans="1:17" ht="15.75" x14ac:dyDescent="0.25">
      <c r="A17" s="3" t="s">
        <v>17</v>
      </c>
      <c r="B17" s="3">
        <v>2</v>
      </c>
      <c r="C17" s="3">
        <v>4</v>
      </c>
      <c r="D17" s="3">
        <v>1</v>
      </c>
      <c r="E17" s="3">
        <v>2</v>
      </c>
      <c r="F17" s="3">
        <v>4</v>
      </c>
      <c r="G17" s="3">
        <v>2</v>
      </c>
      <c r="H17" s="3"/>
      <c r="I17" s="3"/>
      <c r="J17" s="3"/>
      <c r="K17" s="11">
        <v>10</v>
      </c>
      <c r="L17" s="11">
        <v>5</v>
      </c>
      <c r="M17" s="21">
        <v>15</v>
      </c>
      <c r="N17" s="11" t="s">
        <v>80</v>
      </c>
      <c r="O17" s="32">
        <v>2.79</v>
      </c>
      <c r="P17" s="34">
        <f t="shared" si="0"/>
        <v>3.5842293906810037</v>
      </c>
      <c r="Q17" s="38">
        <f>15/2.79</f>
        <v>5.376344086021505</v>
      </c>
    </row>
    <row r="18" spans="1:17" ht="15.75" x14ac:dyDescent="0.25">
      <c r="A18" s="3" t="s">
        <v>18</v>
      </c>
      <c r="B18" s="3">
        <v>1</v>
      </c>
      <c r="C18" s="3">
        <v>7</v>
      </c>
      <c r="D18" s="3"/>
      <c r="E18" s="3">
        <v>2</v>
      </c>
      <c r="F18" s="3">
        <v>9</v>
      </c>
      <c r="G18" s="3">
        <v>1</v>
      </c>
      <c r="H18" s="3">
        <v>2</v>
      </c>
      <c r="I18" s="3"/>
      <c r="J18" s="3"/>
      <c r="K18" s="11">
        <v>18</v>
      </c>
      <c r="L18" s="11">
        <v>4</v>
      </c>
      <c r="M18" s="21">
        <f>SUM(K18:L18)</f>
        <v>22</v>
      </c>
      <c r="N18" s="11" t="s">
        <v>90</v>
      </c>
      <c r="O18" s="32">
        <v>4.28</v>
      </c>
      <c r="P18" s="34">
        <f t="shared" si="0"/>
        <v>4.2056074766355138</v>
      </c>
      <c r="Q18" s="38">
        <f>22/4.28</f>
        <v>5.1401869158878499</v>
      </c>
    </row>
    <row r="19" spans="1:17" ht="15.75" x14ac:dyDescent="0.25">
      <c r="A19" s="3" t="s">
        <v>19</v>
      </c>
      <c r="B19" s="3">
        <v>3</v>
      </c>
      <c r="C19" s="3">
        <v>11</v>
      </c>
      <c r="D19" s="3"/>
      <c r="E19" s="3">
        <v>3</v>
      </c>
      <c r="F19" s="3">
        <v>11</v>
      </c>
      <c r="G19" s="3">
        <v>6</v>
      </c>
      <c r="H19" s="3"/>
      <c r="I19" s="3"/>
      <c r="J19" s="3">
        <v>1</v>
      </c>
      <c r="K19" s="11">
        <f>C19+E19+F19+1</f>
        <v>26</v>
      </c>
      <c r="L19" s="11">
        <f>B19+G19</f>
        <v>9</v>
      </c>
      <c r="M19" s="21">
        <f>SUM(K19:L19)</f>
        <v>35</v>
      </c>
      <c r="N19" s="11" t="s">
        <v>91</v>
      </c>
      <c r="O19" s="32">
        <v>4.45</v>
      </c>
      <c r="P19" s="34">
        <f t="shared" si="0"/>
        <v>5.8426966292134832</v>
      </c>
      <c r="Q19" s="38">
        <f>35/4.45</f>
        <v>7.8651685393258424</v>
      </c>
    </row>
    <row r="20" spans="1:17" ht="15.75" x14ac:dyDescent="0.25">
      <c r="A20" s="3" t="s">
        <v>20</v>
      </c>
      <c r="B20" s="3">
        <v>1</v>
      </c>
      <c r="C20" s="3">
        <v>2</v>
      </c>
      <c r="D20" s="3"/>
      <c r="E20" s="3"/>
      <c r="F20" s="3">
        <v>2</v>
      </c>
      <c r="G20" s="3"/>
      <c r="H20" s="3"/>
      <c r="I20" s="3"/>
      <c r="J20" s="3"/>
      <c r="K20" s="11">
        <v>4</v>
      </c>
      <c r="L20" s="11">
        <v>1</v>
      </c>
      <c r="M20" s="21">
        <v>5</v>
      </c>
      <c r="N20" s="11">
        <v>0</v>
      </c>
      <c r="O20" s="32">
        <v>1.31</v>
      </c>
      <c r="P20" s="34">
        <f t="shared" si="0"/>
        <v>3.0534351145038165</v>
      </c>
      <c r="Q20" s="38">
        <f>5/1.31</f>
        <v>3.8167938931297707</v>
      </c>
    </row>
    <row r="21" spans="1:17" ht="15.75" x14ac:dyDescent="0.25">
      <c r="A21" s="3" t="s">
        <v>21</v>
      </c>
      <c r="B21" s="3">
        <v>2</v>
      </c>
      <c r="C21" s="3">
        <v>6</v>
      </c>
      <c r="D21" s="3">
        <v>1</v>
      </c>
      <c r="E21" s="3"/>
      <c r="F21" s="3">
        <v>8</v>
      </c>
      <c r="G21" s="3">
        <v>3</v>
      </c>
      <c r="H21" s="3"/>
      <c r="I21" s="3"/>
      <c r="J21" s="3"/>
      <c r="K21" s="11">
        <f>C21+F21</f>
        <v>14</v>
      </c>
      <c r="L21" s="11">
        <f>B21+D21+G21</f>
        <v>6</v>
      </c>
      <c r="M21" s="21">
        <v>20</v>
      </c>
      <c r="N21" s="11" t="s">
        <v>92</v>
      </c>
      <c r="O21" s="32">
        <v>5.65</v>
      </c>
      <c r="P21" s="34">
        <f t="shared" si="0"/>
        <v>2.4778761061946901</v>
      </c>
      <c r="Q21" s="38">
        <f>20/5.65</f>
        <v>3.5398230088495573</v>
      </c>
    </row>
    <row r="22" spans="1:17" ht="15.75" x14ac:dyDescent="0.25">
      <c r="A22" s="3" t="s">
        <v>59</v>
      </c>
      <c r="B22" s="3">
        <v>1</v>
      </c>
      <c r="C22" s="3">
        <v>7</v>
      </c>
      <c r="D22" s="3"/>
      <c r="E22" s="3"/>
      <c r="F22" s="3">
        <v>6</v>
      </c>
      <c r="G22" s="3">
        <v>1</v>
      </c>
      <c r="H22" s="3"/>
      <c r="I22" s="3"/>
      <c r="J22" s="3"/>
      <c r="K22" s="11">
        <v>13</v>
      </c>
      <c r="L22" s="11">
        <v>2</v>
      </c>
      <c r="M22" s="21">
        <v>15</v>
      </c>
      <c r="N22" s="11" t="s">
        <v>93</v>
      </c>
      <c r="O22" s="32">
        <v>6.54</v>
      </c>
      <c r="P22" s="34">
        <f t="shared" si="0"/>
        <v>1.9877675840978593</v>
      </c>
      <c r="Q22" s="38">
        <f>15/6.54</f>
        <v>2.2935779816513762</v>
      </c>
    </row>
    <row r="23" spans="1:17" ht="15.75" x14ac:dyDescent="0.25">
      <c r="A23" s="3" t="s">
        <v>22</v>
      </c>
      <c r="B23" s="3">
        <v>4</v>
      </c>
      <c r="C23" s="3">
        <v>16</v>
      </c>
      <c r="D23" s="3"/>
      <c r="E23" s="3"/>
      <c r="F23" s="3">
        <v>16</v>
      </c>
      <c r="G23" s="3">
        <v>6</v>
      </c>
      <c r="H23" s="3">
        <v>1</v>
      </c>
      <c r="I23" s="3"/>
      <c r="J23" s="3">
        <v>2</v>
      </c>
      <c r="K23" s="11">
        <f>C23+F23+J23</f>
        <v>34</v>
      </c>
      <c r="L23" s="11">
        <f>B23+G23+H23</f>
        <v>11</v>
      </c>
      <c r="M23" s="21">
        <v>45</v>
      </c>
      <c r="N23" s="11" t="s">
        <v>85</v>
      </c>
      <c r="O23" s="32">
        <v>10.02</v>
      </c>
      <c r="P23" s="34">
        <f t="shared" si="0"/>
        <v>3.3932135728542914</v>
      </c>
      <c r="Q23" s="38">
        <f>45/10</f>
        <v>4.5</v>
      </c>
    </row>
    <row r="24" spans="1:17" ht="15.75" x14ac:dyDescent="0.25">
      <c r="A24" s="3" t="s">
        <v>23</v>
      </c>
      <c r="B24" s="3">
        <v>1</v>
      </c>
      <c r="C24" s="3">
        <v>3</v>
      </c>
      <c r="D24" s="3"/>
      <c r="E24" s="3"/>
      <c r="F24" s="3">
        <v>5</v>
      </c>
      <c r="G24" s="3">
        <v>1</v>
      </c>
      <c r="H24" s="3"/>
      <c r="I24" s="3"/>
      <c r="J24" s="3"/>
      <c r="K24" s="11">
        <v>8</v>
      </c>
      <c r="L24" s="11">
        <v>2</v>
      </c>
      <c r="M24" s="21">
        <v>10</v>
      </c>
      <c r="N24" s="11" t="s">
        <v>69</v>
      </c>
      <c r="O24" s="32">
        <v>5.23</v>
      </c>
      <c r="P24" s="34">
        <f t="shared" si="0"/>
        <v>1.5296367112810707</v>
      </c>
      <c r="Q24" s="38">
        <f>10/5.23</f>
        <v>1.9120458891013383</v>
      </c>
    </row>
    <row r="25" spans="1:17" ht="15.75" x14ac:dyDescent="0.25">
      <c r="A25" s="3" t="s">
        <v>24</v>
      </c>
      <c r="B25" s="3">
        <v>6</v>
      </c>
      <c r="C25" s="3">
        <v>5</v>
      </c>
      <c r="D25" s="3"/>
      <c r="E25" s="3"/>
      <c r="F25" s="3">
        <v>6</v>
      </c>
      <c r="G25" s="3">
        <v>5</v>
      </c>
      <c r="H25" s="3"/>
      <c r="I25" s="3">
        <v>1</v>
      </c>
      <c r="J25" s="3">
        <v>1</v>
      </c>
      <c r="K25" s="11">
        <f>C25+F25+J25</f>
        <v>12</v>
      </c>
      <c r="L25" s="11">
        <f>B25+G25+I25</f>
        <v>12</v>
      </c>
      <c r="M25" s="21">
        <v>24</v>
      </c>
      <c r="N25" s="11" t="s">
        <v>90</v>
      </c>
      <c r="O25" s="32">
        <v>2.94</v>
      </c>
      <c r="P25" s="34">
        <f t="shared" si="0"/>
        <v>4.0816326530612246</v>
      </c>
      <c r="Q25" s="38">
        <f>24/2.94</f>
        <v>8.1632653061224492</v>
      </c>
    </row>
    <row r="26" spans="1:17" ht="15.75" x14ac:dyDescent="0.25">
      <c r="A26" s="3" t="s">
        <v>25</v>
      </c>
      <c r="B26" s="3">
        <v>2</v>
      </c>
      <c r="C26" s="3">
        <v>14</v>
      </c>
      <c r="D26" s="3">
        <v>1</v>
      </c>
      <c r="E26" s="3">
        <v>3</v>
      </c>
      <c r="F26" s="3">
        <v>15</v>
      </c>
      <c r="G26" s="3">
        <v>2</v>
      </c>
      <c r="H26" s="3"/>
      <c r="I26" s="3">
        <v>2</v>
      </c>
      <c r="J26" s="3">
        <v>1</v>
      </c>
      <c r="K26" s="11">
        <f>C26+E26+F26+1</f>
        <v>33</v>
      </c>
      <c r="L26" s="11">
        <f>B26+D26+G26+I26</f>
        <v>7</v>
      </c>
      <c r="M26" s="21">
        <v>40</v>
      </c>
      <c r="N26" s="11" t="s">
        <v>94</v>
      </c>
      <c r="O26" s="32">
        <v>5.95</v>
      </c>
      <c r="P26" s="34">
        <f t="shared" si="0"/>
        <v>5.5462184873949578</v>
      </c>
      <c r="Q26" s="38">
        <f>40/5.95</f>
        <v>6.7226890756302522</v>
      </c>
    </row>
    <row r="27" spans="1:17" ht="15.75" x14ac:dyDescent="0.25">
      <c r="A27" s="3" t="s">
        <v>26</v>
      </c>
      <c r="B27" s="3"/>
      <c r="C27" s="3">
        <v>2</v>
      </c>
      <c r="D27" s="3"/>
      <c r="E27" s="3"/>
      <c r="F27" s="3">
        <v>2</v>
      </c>
      <c r="G27" s="3">
        <v>1</v>
      </c>
      <c r="H27" s="3"/>
      <c r="I27" s="3">
        <v>1</v>
      </c>
      <c r="J27" s="3"/>
      <c r="K27" s="11">
        <v>4</v>
      </c>
      <c r="L27" s="11">
        <v>2</v>
      </c>
      <c r="M27" s="21">
        <v>6</v>
      </c>
      <c r="N27" s="11" t="s">
        <v>68</v>
      </c>
      <c r="O27" s="32">
        <v>9.68</v>
      </c>
      <c r="P27" s="34">
        <f t="shared" si="0"/>
        <v>0.41322314049586778</v>
      </c>
      <c r="Q27" s="38">
        <f>6/0.96</f>
        <v>6.25</v>
      </c>
    </row>
    <row r="28" spans="1:17" ht="15.75" x14ac:dyDescent="0.25">
      <c r="A28" s="3" t="s">
        <v>27</v>
      </c>
      <c r="B28" s="3"/>
      <c r="C28" s="3">
        <v>5</v>
      </c>
      <c r="D28" s="3"/>
      <c r="E28" s="3"/>
      <c r="F28" s="3">
        <v>1</v>
      </c>
      <c r="G28" s="3"/>
      <c r="H28" s="3">
        <v>1</v>
      </c>
      <c r="I28" s="3"/>
      <c r="J28" s="3"/>
      <c r="K28" s="11">
        <v>6</v>
      </c>
      <c r="L28" s="11">
        <v>1</v>
      </c>
      <c r="M28" s="21">
        <v>7</v>
      </c>
      <c r="N28" s="11" t="s">
        <v>80</v>
      </c>
      <c r="O28" s="32">
        <v>1.78</v>
      </c>
      <c r="P28" s="34">
        <f t="shared" si="0"/>
        <v>3.3707865168539324</v>
      </c>
      <c r="Q28" s="38">
        <f>7/1.78</f>
        <v>3.9325842696629212</v>
      </c>
    </row>
    <row r="29" spans="1:17" ht="15.75" x14ac:dyDescent="0.25">
      <c r="A29" s="3" t="s">
        <v>28</v>
      </c>
      <c r="B29" s="14">
        <v>2</v>
      </c>
      <c r="C29" s="14">
        <v>12</v>
      </c>
      <c r="D29" s="3"/>
      <c r="E29" s="3"/>
      <c r="F29" s="14">
        <v>9</v>
      </c>
      <c r="G29" s="14">
        <v>1</v>
      </c>
      <c r="H29" s="3"/>
      <c r="I29" s="3"/>
      <c r="J29" s="3"/>
      <c r="K29" s="11">
        <f>C29+F29</f>
        <v>21</v>
      </c>
      <c r="L29" s="15">
        <v>3</v>
      </c>
      <c r="M29" s="21">
        <v>24</v>
      </c>
      <c r="N29" s="11" t="s">
        <v>88</v>
      </c>
      <c r="O29" s="32">
        <v>2.61</v>
      </c>
      <c r="P29" s="34">
        <f t="shared" si="0"/>
        <v>8.0459770114942533</v>
      </c>
      <c r="Q29" s="38">
        <f>24/2.61</f>
        <v>9.1954022988505759</v>
      </c>
    </row>
    <row r="30" spans="1:17" ht="15.75" x14ac:dyDescent="0.25">
      <c r="A30" s="3" t="s">
        <v>29</v>
      </c>
      <c r="B30" s="3"/>
      <c r="C30" s="3">
        <v>3</v>
      </c>
      <c r="D30" s="3"/>
      <c r="E30" s="3"/>
      <c r="F30" s="3"/>
      <c r="G30" s="3"/>
      <c r="H30" s="3"/>
      <c r="I30" s="3"/>
      <c r="J30" s="3"/>
      <c r="K30" s="11">
        <v>3</v>
      </c>
      <c r="L30" s="11">
        <v>0</v>
      </c>
      <c r="M30" s="21">
        <v>3</v>
      </c>
      <c r="N30" s="11">
        <v>0</v>
      </c>
      <c r="O30" s="32">
        <v>1.32</v>
      </c>
      <c r="P30" s="34">
        <f t="shared" si="0"/>
        <v>2.2727272727272725</v>
      </c>
      <c r="Q30" s="38">
        <f>3/1.32</f>
        <v>2.2727272727272725</v>
      </c>
    </row>
    <row r="31" spans="1:17" ht="15.75" x14ac:dyDescent="0.25">
      <c r="A31" s="3" t="s">
        <v>30</v>
      </c>
      <c r="B31" s="3">
        <v>1</v>
      </c>
      <c r="C31" s="3">
        <v>10</v>
      </c>
      <c r="D31" s="3"/>
      <c r="E31" s="3">
        <v>1</v>
      </c>
      <c r="F31" s="3">
        <v>10</v>
      </c>
      <c r="G31" s="3">
        <v>5</v>
      </c>
      <c r="H31" s="3"/>
      <c r="I31" s="3"/>
      <c r="J31" s="3"/>
      <c r="K31" s="11">
        <v>21</v>
      </c>
      <c r="L31" s="11">
        <v>6</v>
      </c>
      <c r="M31" s="21">
        <v>27</v>
      </c>
      <c r="N31" s="11" t="s">
        <v>91</v>
      </c>
      <c r="O31" s="32">
        <v>8.66</v>
      </c>
      <c r="P31" s="34">
        <f t="shared" si="0"/>
        <v>2.4249422632794455</v>
      </c>
      <c r="Q31" s="38">
        <f>27/8.66</f>
        <v>3.1177829099307157</v>
      </c>
    </row>
    <row r="32" spans="1:17" ht="15.75" x14ac:dyDescent="0.25">
      <c r="A32" s="3" t="s">
        <v>31</v>
      </c>
      <c r="B32" s="3">
        <v>1</v>
      </c>
      <c r="C32" s="3">
        <v>3</v>
      </c>
      <c r="D32" s="3"/>
      <c r="E32" s="3"/>
      <c r="F32" s="3">
        <v>4</v>
      </c>
      <c r="G32" s="3">
        <v>2</v>
      </c>
      <c r="H32" s="3">
        <v>1</v>
      </c>
      <c r="I32" s="3"/>
      <c r="J32" s="3"/>
      <c r="K32" s="11">
        <v>7</v>
      </c>
      <c r="L32" s="11">
        <v>4</v>
      </c>
      <c r="M32" s="21">
        <v>11</v>
      </c>
      <c r="N32" s="11" t="s">
        <v>95</v>
      </c>
      <c r="O32" s="32">
        <v>1.98</v>
      </c>
      <c r="P32" s="34">
        <f t="shared" si="0"/>
        <v>3.5353535353535355</v>
      </c>
      <c r="Q32" s="38">
        <f>11/1.98</f>
        <v>5.5555555555555554</v>
      </c>
    </row>
    <row r="33" spans="1:17" ht="15.75" x14ac:dyDescent="0.25">
      <c r="A33" s="3" t="s">
        <v>32</v>
      </c>
      <c r="B33" s="3">
        <v>9</v>
      </c>
      <c r="C33" s="3">
        <v>35</v>
      </c>
      <c r="D33" s="3"/>
      <c r="E33" s="3">
        <v>3</v>
      </c>
      <c r="F33" s="3">
        <v>26</v>
      </c>
      <c r="G33" s="3">
        <v>9</v>
      </c>
      <c r="H33" s="3">
        <v>4</v>
      </c>
      <c r="I33" s="3"/>
      <c r="J33" s="3"/>
      <c r="K33" s="11">
        <v>64</v>
      </c>
      <c r="L33" s="11">
        <v>22</v>
      </c>
      <c r="M33" s="21">
        <v>86</v>
      </c>
      <c r="N33" s="11" t="s">
        <v>97</v>
      </c>
      <c r="O33" s="32">
        <v>19.46</v>
      </c>
      <c r="P33" s="34">
        <f t="shared" si="0"/>
        <v>3.28879753340185</v>
      </c>
      <c r="Q33" s="38">
        <f>86/19.46</f>
        <v>4.4193216855087361</v>
      </c>
    </row>
    <row r="34" spans="1:17" ht="15.75" x14ac:dyDescent="0.25">
      <c r="A34" s="3" t="s">
        <v>33</v>
      </c>
      <c r="B34" s="3">
        <v>4</v>
      </c>
      <c r="C34" s="3">
        <v>13</v>
      </c>
      <c r="D34" s="3"/>
      <c r="E34" s="3"/>
      <c r="F34" s="3">
        <v>20</v>
      </c>
      <c r="G34" s="3">
        <v>6</v>
      </c>
      <c r="H34" s="3">
        <v>1</v>
      </c>
      <c r="I34" s="3"/>
      <c r="J34" s="3"/>
      <c r="K34" s="11">
        <v>34</v>
      </c>
      <c r="L34" s="11">
        <v>10</v>
      </c>
      <c r="M34" s="21">
        <v>44</v>
      </c>
      <c r="N34" s="11" t="s">
        <v>96</v>
      </c>
      <c r="O34" s="32">
        <v>9.24</v>
      </c>
      <c r="P34" s="34">
        <f t="shared" si="0"/>
        <v>3.6796536796536796</v>
      </c>
      <c r="Q34" s="38">
        <f>44/9.24</f>
        <v>4.7619047619047619</v>
      </c>
    </row>
    <row r="35" spans="1:17" ht="15.75" x14ac:dyDescent="0.25">
      <c r="A35" s="3" t="s">
        <v>34</v>
      </c>
      <c r="B35" s="3"/>
      <c r="C35" s="3">
        <v>3</v>
      </c>
      <c r="D35" s="3"/>
      <c r="E35" s="3"/>
      <c r="F35" s="3">
        <v>1</v>
      </c>
      <c r="G35" s="3"/>
      <c r="H35" s="3"/>
      <c r="I35" s="3"/>
      <c r="J35" s="3"/>
      <c r="K35" s="11">
        <v>4</v>
      </c>
      <c r="L35" s="11">
        <v>0</v>
      </c>
      <c r="M35" s="21">
        <v>4</v>
      </c>
      <c r="N35" s="11">
        <v>0</v>
      </c>
      <c r="O35" s="32">
        <v>6.41</v>
      </c>
      <c r="P35" s="34">
        <f t="shared" si="0"/>
        <v>0.62402496099843996</v>
      </c>
      <c r="Q35" s="38">
        <f>4/0.64</f>
        <v>6.25</v>
      </c>
    </row>
    <row r="36" spans="1:17" ht="15.75" x14ac:dyDescent="0.25">
      <c r="A36" s="3" t="s">
        <v>35</v>
      </c>
      <c r="B36" s="3">
        <v>4</v>
      </c>
      <c r="C36" s="3">
        <v>19</v>
      </c>
      <c r="D36" s="3">
        <v>1</v>
      </c>
      <c r="E36" s="3">
        <v>1</v>
      </c>
      <c r="F36" s="3">
        <v>13</v>
      </c>
      <c r="G36" s="3">
        <v>7</v>
      </c>
      <c r="H36" s="3"/>
      <c r="I36" s="3"/>
      <c r="J36" s="3"/>
      <c r="K36" s="11">
        <f>C36+E36+F36</f>
        <v>33</v>
      </c>
      <c r="L36" s="11">
        <f>G36+D36+B36</f>
        <v>12</v>
      </c>
      <c r="M36" s="21">
        <f>SUM(K36:L36)</f>
        <v>45</v>
      </c>
      <c r="N36" s="11" t="s">
        <v>92</v>
      </c>
      <c r="O36" s="32">
        <v>11.5</v>
      </c>
      <c r="P36" s="34">
        <f t="shared" si="0"/>
        <v>2.8695652173913042</v>
      </c>
      <c r="Q36" s="38">
        <f>45/11.52</f>
        <v>3.90625</v>
      </c>
    </row>
    <row r="37" spans="1:17" ht="15.75" x14ac:dyDescent="0.25">
      <c r="A37" s="3" t="s">
        <v>36</v>
      </c>
      <c r="B37" s="3">
        <v>2</v>
      </c>
      <c r="C37" s="3">
        <v>5</v>
      </c>
      <c r="D37" s="3"/>
      <c r="E37" s="3"/>
      <c r="F37" s="3">
        <v>16</v>
      </c>
      <c r="G37" s="3">
        <v>6</v>
      </c>
      <c r="H37" s="3"/>
      <c r="I37" s="3"/>
      <c r="J37" s="3">
        <v>1</v>
      </c>
      <c r="K37" s="11">
        <f>5+16+1</f>
        <v>22</v>
      </c>
      <c r="L37" s="11">
        <f>6+2</f>
        <v>8</v>
      </c>
      <c r="M37" s="21">
        <v>30</v>
      </c>
      <c r="N37" s="11" t="s">
        <v>98</v>
      </c>
      <c r="O37" s="32">
        <v>3.64</v>
      </c>
      <c r="P37" s="34">
        <f t="shared" si="0"/>
        <v>6.0439560439560438</v>
      </c>
      <c r="Q37" s="38">
        <f>30/3.64</f>
        <v>8.2417582417582409</v>
      </c>
    </row>
    <row r="38" spans="1:17" ht="15.75" x14ac:dyDescent="0.25">
      <c r="A38" s="3" t="s">
        <v>37</v>
      </c>
      <c r="B38" s="3">
        <v>1</v>
      </c>
      <c r="C38" s="3">
        <v>6</v>
      </c>
      <c r="D38" s="3">
        <v>2</v>
      </c>
      <c r="E38" s="3"/>
      <c r="F38" s="3">
        <v>5</v>
      </c>
      <c r="G38" s="3">
        <v>1</v>
      </c>
      <c r="H38" s="3"/>
      <c r="I38" s="3"/>
      <c r="J38" s="3">
        <v>1</v>
      </c>
      <c r="K38" s="11">
        <v>12</v>
      </c>
      <c r="L38" s="11">
        <v>4</v>
      </c>
      <c r="M38" s="21">
        <v>16</v>
      </c>
      <c r="N38" s="11">
        <v>0</v>
      </c>
      <c r="O38" s="32">
        <v>3.78</v>
      </c>
      <c r="P38" s="34">
        <f t="shared" si="0"/>
        <v>3.1746031746031749</v>
      </c>
      <c r="Q38" s="38">
        <f>16/3.78</f>
        <v>4.2328042328042335</v>
      </c>
    </row>
    <row r="39" spans="1:17" ht="15.75" x14ac:dyDescent="0.25">
      <c r="A39" s="3" t="s">
        <v>38</v>
      </c>
      <c r="B39" s="3">
        <v>3</v>
      </c>
      <c r="C39" s="3">
        <v>30</v>
      </c>
      <c r="D39" s="3"/>
      <c r="E39" s="3">
        <v>1</v>
      </c>
      <c r="F39" s="3">
        <v>26</v>
      </c>
      <c r="G39" s="3">
        <v>10</v>
      </c>
      <c r="H39" s="3">
        <v>2</v>
      </c>
      <c r="I39" s="3"/>
      <c r="J39" s="3">
        <v>1</v>
      </c>
      <c r="K39" s="11">
        <f>C39+E39+F39+1</f>
        <v>58</v>
      </c>
      <c r="L39" s="11">
        <f>B39+G39+H39</f>
        <v>15</v>
      </c>
      <c r="M39" s="21">
        <v>73</v>
      </c>
      <c r="N39" s="11" t="s">
        <v>99</v>
      </c>
      <c r="O39" s="32">
        <v>12.56</v>
      </c>
      <c r="P39" s="34">
        <f t="shared" si="0"/>
        <v>4.6178343949044587</v>
      </c>
      <c r="Q39" s="38">
        <f>73/12.56</f>
        <v>5.8121019108280256</v>
      </c>
    </row>
    <row r="40" spans="1:17" ht="15.75" x14ac:dyDescent="0.25">
      <c r="A40" s="3" t="s">
        <v>39</v>
      </c>
      <c r="B40" s="3"/>
      <c r="C40" s="3"/>
      <c r="D40" s="3"/>
      <c r="E40" s="3"/>
      <c r="F40" s="3">
        <v>2</v>
      </c>
      <c r="G40" s="3">
        <v>1</v>
      </c>
      <c r="H40" s="3"/>
      <c r="I40" s="3"/>
      <c r="J40" s="3"/>
      <c r="K40" s="11">
        <v>2</v>
      </c>
      <c r="L40" s="11">
        <v>1</v>
      </c>
      <c r="M40" s="21">
        <v>3</v>
      </c>
      <c r="N40" s="11">
        <v>0</v>
      </c>
      <c r="O40" s="32">
        <v>1.05</v>
      </c>
      <c r="P40" s="34">
        <f t="shared" si="0"/>
        <v>1.9047619047619047</v>
      </c>
      <c r="Q40" s="38">
        <f>3/1/5</f>
        <v>0.6</v>
      </c>
    </row>
    <row r="41" spans="1:17" ht="15.75" x14ac:dyDescent="0.25">
      <c r="A41" s="3" t="s">
        <v>40</v>
      </c>
      <c r="B41" s="3"/>
      <c r="C41" s="3">
        <v>15</v>
      </c>
      <c r="D41" s="3"/>
      <c r="E41" s="3"/>
      <c r="F41" s="3">
        <v>17</v>
      </c>
      <c r="G41" s="3">
        <v>3</v>
      </c>
      <c r="H41" s="3"/>
      <c r="I41" s="3"/>
      <c r="J41" s="3"/>
      <c r="K41" s="11">
        <v>32</v>
      </c>
      <c r="L41" s="11">
        <v>3</v>
      </c>
      <c r="M41" s="21">
        <v>35</v>
      </c>
      <c r="N41" s="11" t="s">
        <v>65</v>
      </c>
      <c r="O41" s="32">
        <v>4.5</v>
      </c>
      <c r="P41" s="34">
        <f t="shared" si="0"/>
        <v>7.1111111111111107</v>
      </c>
      <c r="Q41" s="38">
        <f>35/4.5</f>
        <v>7.7777777777777777</v>
      </c>
    </row>
    <row r="42" spans="1:17" ht="15.75" x14ac:dyDescent="0.25">
      <c r="A42" s="3" t="s">
        <v>41</v>
      </c>
      <c r="B42" s="3"/>
      <c r="C42" s="3">
        <v>2</v>
      </c>
      <c r="D42" s="3"/>
      <c r="E42" s="3"/>
      <c r="F42" s="3">
        <v>3</v>
      </c>
      <c r="G42" s="3">
        <v>1</v>
      </c>
      <c r="H42" s="3"/>
      <c r="I42" s="3"/>
      <c r="J42" s="3"/>
      <c r="K42" s="11">
        <v>5</v>
      </c>
      <c r="L42" s="11">
        <v>1</v>
      </c>
      <c r="M42" s="21">
        <v>6</v>
      </c>
      <c r="N42" s="11" t="s">
        <v>68</v>
      </c>
      <c r="O42" s="32">
        <v>0.8</v>
      </c>
      <c r="P42" s="34">
        <f t="shared" si="0"/>
        <v>6.25</v>
      </c>
      <c r="Q42" s="38">
        <f>6/0.8</f>
        <v>7.5</v>
      </c>
    </row>
    <row r="43" spans="1:17" ht="15.75" x14ac:dyDescent="0.25">
      <c r="A43" s="3" t="s">
        <v>42</v>
      </c>
      <c r="B43" s="3">
        <v>7</v>
      </c>
      <c r="C43" s="3">
        <v>19</v>
      </c>
      <c r="D43" s="3">
        <v>1</v>
      </c>
      <c r="E43" s="3"/>
      <c r="F43" s="3">
        <v>18</v>
      </c>
      <c r="G43" s="3">
        <v>4</v>
      </c>
      <c r="H43" s="3"/>
      <c r="I43" s="3"/>
      <c r="J43" s="3"/>
      <c r="K43" s="11">
        <f>C43+F43</f>
        <v>37</v>
      </c>
      <c r="L43" s="11">
        <v>12</v>
      </c>
      <c r="M43" s="21">
        <v>49</v>
      </c>
      <c r="N43" s="11" t="s">
        <v>74</v>
      </c>
      <c r="O43" s="32">
        <v>6.24</v>
      </c>
      <c r="P43" s="34">
        <f t="shared" si="0"/>
        <v>5.9294871794871788</v>
      </c>
      <c r="Q43" s="38">
        <f>49/6.24</f>
        <v>7.8525641025641022</v>
      </c>
    </row>
    <row r="44" spans="1:17" ht="15.75" x14ac:dyDescent="0.25">
      <c r="A44" s="7" t="s">
        <v>43</v>
      </c>
      <c r="B44" s="3">
        <v>20</v>
      </c>
      <c r="C44" s="3">
        <v>58</v>
      </c>
      <c r="D44" s="3">
        <v>3</v>
      </c>
      <c r="E44" s="3">
        <v>4</v>
      </c>
      <c r="F44" s="3">
        <v>32</v>
      </c>
      <c r="G44" s="3">
        <v>13</v>
      </c>
      <c r="H44" s="3">
        <v>1</v>
      </c>
      <c r="I44" s="3">
        <v>3</v>
      </c>
      <c r="J44" s="3">
        <v>9</v>
      </c>
      <c r="K44" s="11">
        <f>C44+E44+F44+9</f>
        <v>103</v>
      </c>
      <c r="L44" s="11">
        <f>B44+D44+G44+H44+I44</f>
        <v>40</v>
      </c>
      <c r="M44" s="21">
        <v>143</v>
      </c>
      <c r="N44" s="11" t="s">
        <v>104</v>
      </c>
      <c r="O44" s="32">
        <v>24.3</v>
      </c>
      <c r="P44" s="34">
        <f t="shared" si="0"/>
        <v>4.238683127572016</v>
      </c>
      <c r="Q44" s="38">
        <f>143/24.3</f>
        <v>5.8847736625514404</v>
      </c>
    </row>
    <row r="45" spans="1:17" ht="15.75" x14ac:dyDescent="0.25">
      <c r="A45" s="3" t="s">
        <v>44</v>
      </c>
      <c r="B45" s="3">
        <v>1</v>
      </c>
      <c r="C45" s="3">
        <v>3</v>
      </c>
      <c r="D45" s="3"/>
      <c r="E45" s="3"/>
      <c r="F45" s="3">
        <v>5</v>
      </c>
      <c r="G45" s="3">
        <v>1</v>
      </c>
      <c r="H45" s="3"/>
      <c r="I45" s="3"/>
      <c r="J45" s="3"/>
      <c r="K45" s="11">
        <v>8</v>
      </c>
      <c r="L45" s="11">
        <v>2</v>
      </c>
      <c r="M45" s="21">
        <v>10</v>
      </c>
      <c r="N45" s="11" t="s">
        <v>101</v>
      </c>
      <c r="O45" s="32">
        <v>2.72</v>
      </c>
      <c r="P45" s="34">
        <f t="shared" si="0"/>
        <v>2.9411764705882351</v>
      </c>
      <c r="Q45" s="38">
        <f>10/2.72</f>
        <v>3.6764705882352939</v>
      </c>
    </row>
    <row r="46" spans="1:17" ht="15.75" x14ac:dyDescent="0.25">
      <c r="A46" s="3" t="s">
        <v>45</v>
      </c>
      <c r="B46" s="3"/>
      <c r="C46" s="3">
        <v>1</v>
      </c>
      <c r="D46" s="3"/>
      <c r="E46" s="3"/>
      <c r="F46" s="3"/>
      <c r="G46" s="3"/>
      <c r="H46" s="3"/>
      <c r="I46" s="3"/>
      <c r="J46" s="3"/>
      <c r="K46" s="11">
        <v>1</v>
      </c>
      <c r="L46" s="11">
        <v>0</v>
      </c>
      <c r="M46" s="21">
        <v>1</v>
      </c>
      <c r="N46" s="11">
        <v>0</v>
      </c>
      <c r="O46" s="32">
        <v>6.21</v>
      </c>
      <c r="P46" s="34">
        <f t="shared" si="0"/>
        <v>0.1610305958132045</v>
      </c>
      <c r="Q46" s="38">
        <f>1/0.62</f>
        <v>1.6129032258064517</v>
      </c>
    </row>
    <row r="47" spans="1:17" ht="15.75" x14ac:dyDescent="0.25">
      <c r="A47" s="3" t="s">
        <v>100</v>
      </c>
      <c r="B47" s="3">
        <v>3</v>
      </c>
      <c r="C47" s="14">
        <v>26</v>
      </c>
      <c r="D47" s="3"/>
      <c r="E47" s="3"/>
      <c r="F47" s="14">
        <v>17</v>
      </c>
      <c r="G47" s="14">
        <v>5</v>
      </c>
      <c r="H47" s="3"/>
      <c r="I47" s="3"/>
      <c r="J47" s="3">
        <v>1</v>
      </c>
      <c r="K47" s="15">
        <f>C47+F47+J47</f>
        <v>44</v>
      </c>
      <c r="L47" s="15">
        <v>8</v>
      </c>
      <c r="M47" s="21">
        <v>52</v>
      </c>
      <c r="N47" s="11" t="s">
        <v>82</v>
      </c>
      <c r="O47" s="32">
        <v>7.79</v>
      </c>
      <c r="P47" s="34">
        <f t="shared" si="0"/>
        <v>5.6482670089858793</v>
      </c>
      <c r="Q47" s="38">
        <f>52/7.79</f>
        <v>6.6752246469833123</v>
      </c>
    </row>
    <row r="48" spans="1:17" ht="15.75" x14ac:dyDescent="0.25">
      <c r="A48" s="3" t="s">
        <v>46</v>
      </c>
      <c r="B48" s="3"/>
      <c r="C48" s="3">
        <v>9</v>
      </c>
      <c r="D48" s="3"/>
      <c r="E48" s="3"/>
      <c r="F48" s="3">
        <v>15</v>
      </c>
      <c r="G48" s="3">
        <v>3</v>
      </c>
      <c r="H48" s="3">
        <v>1</v>
      </c>
      <c r="I48" s="3">
        <v>1</v>
      </c>
      <c r="J48" s="3">
        <v>2</v>
      </c>
      <c r="K48" s="11">
        <f>C48+F48+J48</f>
        <v>26</v>
      </c>
      <c r="L48" s="11">
        <f>I48+H48+G48</f>
        <v>5</v>
      </c>
      <c r="M48" s="21">
        <v>31</v>
      </c>
      <c r="N48" s="11" t="s">
        <v>102</v>
      </c>
      <c r="O48" s="32">
        <v>6.56</v>
      </c>
      <c r="P48" s="34">
        <f t="shared" si="0"/>
        <v>3.9634146341463419</v>
      </c>
      <c r="Q48" s="38">
        <f>31/6.56</f>
        <v>4.725609756097561</v>
      </c>
    </row>
    <row r="49" spans="1:17" ht="15.75" x14ac:dyDescent="0.25">
      <c r="A49" s="3" t="s">
        <v>47</v>
      </c>
      <c r="B49" s="3">
        <v>2</v>
      </c>
      <c r="C49" s="3">
        <v>4</v>
      </c>
      <c r="D49" s="3"/>
      <c r="E49" s="3"/>
      <c r="F49" s="3">
        <v>4</v>
      </c>
      <c r="G49" s="3">
        <v>2</v>
      </c>
      <c r="H49" s="3">
        <v>1</v>
      </c>
      <c r="I49" s="3"/>
      <c r="J49" s="3">
        <v>1</v>
      </c>
      <c r="K49" s="11">
        <v>9</v>
      </c>
      <c r="L49" s="11">
        <v>5</v>
      </c>
      <c r="M49" s="21">
        <v>14</v>
      </c>
      <c r="N49" s="11" t="s">
        <v>88</v>
      </c>
      <c r="O49" s="32">
        <v>1.81</v>
      </c>
      <c r="P49" s="34">
        <f t="shared" si="0"/>
        <v>4.972375690607735</v>
      </c>
      <c r="Q49" s="38">
        <f>14/1.81</f>
        <v>7.7348066298342539</v>
      </c>
    </row>
    <row r="50" spans="1:17" ht="15.75" x14ac:dyDescent="0.25">
      <c r="A50" s="3" t="s">
        <v>48</v>
      </c>
      <c r="B50" s="3">
        <v>1</v>
      </c>
      <c r="C50" s="3">
        <v>10</v>
      </c>
      <c r="D50" s="3"/>
      <c r="E50" s="3">
        <v>3</v>
      </c>
      <c r="F50" s="3">
        <v>5</v>
      </c>
      <c r="G50" s="3">
        <v>4</v>
      </c>
      <c r="H50" s="3"/>
      <c r="I50" s="3"/>
      <c r="J50" s="3">
        <v>1</v>
      </c>
      <c r="K50" s="11">
        <v>19</v>
      </c>
      <c r="L50" s="11">
        <v>5</v>
      </c>
      <c r="M50" s="21">
        <v>24</v>
      </c>
      <c r="N50" s="11" t="s">
        <v>103</v>
      </c>
      <c r="O50" s="32">
        <v>5.62</v>
      </c>
      <c r="P50" s="34">
        <f t="shared" si="0"/>
        <v>3.3807829181494662</v>
      </c>
      <c r="Q50" s="38">
        <f>24/5.62</f>
        <v>4.2704626334519569</v>
      </c>
    </row>
    <row r="51" spans="1:17" ht="15.75" x14ac:dyDescent="0.25">
      <c r="A51" s="3" t="s">
        <v>49</v>
      </c>
      <c r="B51" s="3">
        <v>2</v>
      </c>
      <c r="C51" s="3"/>
      <c r="D51" s="3"/>
      <c r="E51" s="3"/>
      <c r="F51" s="3"/>
      <c r="G51" s="3"/>
      <c r="H51" s="3"/>
      <c r="I51" s="3"/>
      <c r="J51" s="3"/>
      <c r="K51" s="11">
        <v>0</v>
      </c>
      <c r="L51" s="11">
        <v>2</v>
      </c>
      <c r="M51" s="21">
        <v>2</v>
      </c>
      <c r="N51" s="11" t="s">
        <v>80</v>
      </c>
      <c r="O51" s="32">
        <v>0.53</v>
      </c>
      <c r="P51" s="34">
        <f t="shared" si="0"/>
        <v>0</v>
      </c>
      <c r="Q51" s="38">
        <f>2/0.53</f>
        <v>3.773584905660377</v>
      </c>
    </row>
    <row r="52" spans="1:17" x14ac:dyDescent="0.25">
      <c r="N52" s="5"/>
      <c r="O52" s="32"/>
      <c r="P52" s="35"/>
    </row>
    <row r="53" spans="1:17" x14ac:dyDescent="0.25">
      <c r="A53" s="29" t="s">
        <v>140</v>
      </c>
      <c r="K53" s="29">
        <f>SUM(K2:K51)</f>
        <v>1056</v>
      </c>
      <c r="L53">
        <f>SUM(L2:L51)</f>
        <v>322</v>
      </c>
      <c r="M53">
        <f>SUM(M2:M51)</f>
        <v>1378</v>
      </c>
    </row>
  </sheetData>
  <pageMargins left="0.7" right="0.7" top="0.75" bottom="0.75" header="0.3" footer="0.3"/>
  <pageSetup orientation="portrait" r:id="rId1"/>
  <ignoredErrors>
    <ignoredError sqref="K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27" workbookViewId="0">
      <selection activeCell="K44" sqref="K44"/>
    </sheetView>
  </sheetViews>
  <sheetFormatPr defaultRowHeight="15" x14ac:dyDescent="0.25"/>
  <cols>
    <col min="1" max="1" width="20.140625" bestFit="1" customWidth="1"/>
    <col min="2" max="2" width="4.5703125" customWidth="1"/>
    <col min="3" max="3" width="3.5703125" customWidth="1"/>
    <col min="4" max="4" width="3.42578125" customWidth="1"/>
    <col min="5" max="5" width="4.140625" customWidth="1"/>
    <col min="6" max="6" width="3.42578125" customWidth="1"/>
    <col min="7" max="7" width="3.140625" customWidth="1"/>
    <col min="8" max="8" width="3.7109375" customWidth="1"/>
    <col min="9" max="9" width="3.42578125" customWidth="1"/>
    <col min="10" max="10" width="4.140625" customWidth="1"/>
    <col min="11" max="11" width="12.7109375" customWidth="1"/>
    <col min="12" max="12" width="10.85546875" customWidth="1"/>
    <col min="13" max="13" width="20.42578125" customWidth="1"/>
    <col min="14" max="14" width="20.28515625" customWidth="1"/>
    <col min="15" max="15" width="16.85546875" style="3" customWidth="1"/>
    <col min="16" max="16" width="16.85546875" style="25" customWidth="1"/>
    <col min="17" max="17" width="19.85546875" style="23" hidden="1" customWidth="1"/>
  </cols>
  <sheetData>
    <row r="1" spans="1:17" ht="18.75" x14ac:dyDescent="0.3">
      <c r="A1" s="1" t="s">
        <v>60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50</v>
      </c>
      <c r="G1" s="1" t="s">
        <v>51</v>
      </c>
      <c r="H1" s="1" t="s">
        <v>56</v>
      </c>
      <c r="I1" s="1" t="s">
        <v>57</v>
      </c>
      <c r="J1" s="1" t="s">
        <v>58</v>
      </c>
      <c r="K1" s="2" t="s">
        <v>0</v>
      </c>
      <c r="L1" s="2" t="s">
        <v>1</v>
      </c>
      <c r="M1" s="18" t="s">
        <v>61</v>
      </c>
      <c r="N1" s="26" t="s">
        <v>64</v>
      </c>
      <c r="O1" s="25" t="s">
        <v>124</v>
      </c>
      <c r="P1" s="30" t="s">
        <v>141</v>
      </c>
      <c r="Q1" s="22" t="s">
        <v>125</v>
      </c>
    </row>
    <row r="2" spans="1:17" ht="15.75" x14ac:dyDescent="0.25">
      <c r="A2" s="3" t="s">
        <v>2</v>
      </c>
      <c r="B2" s="3">
        <v>6</v>
      </c>
      <c r="C2" s="3">
        <v>10</v>
      </c>
      <c r="D2" s="3"/>
      <c r="E2" s="3">
        <v>3</v>
      </c>
      <c r="F2" s="3">
        <v>4</v>
      </c>
      <c r="G2" s="3">
        <v>11</v>
      </c>
      <c r="H2" s="3"/>
      <c r="I2" s="3"/>
      <c r="J2" s="3">
        <v>1</v>
      </c>
      <c r="K2" s="11">
        <v>18</v>
      </c>
      <c r="L2" s="11">
        <v>17</v>
      </c>
      <c r="M2" s="21">
        <f>SUM(K2:L2)</f>
        <v>35</v>
      </c>
      <c r="N2" s="27" t="s">
        <v>84</v>
      </c>
      <c r="O2" s="3">
        <v>4.7789999999999999</v>
      </c>
      <c r="P2" s="51">
        <v>3.76</v>
      </c>
      <c r="Q2" s="23">
        <v>7.32</v>
      </c>
    </row>
    <row r="3" spans="1:17" ht="15.75" x14ac:dyDescent="0.25">
      <c r="A3" s="7" t="s">
        <v>3</v>
      </c>
      <c r="B3" s="3">
        <v>1</v>
      </c>
      <c r="C3" s="3">
        <v>1</v>
      </c>
      <c r="D3" s="3">
        <v>1</v>
      </c>
      <c r="E3" s="3"/>
      <c r="F3" s="3">
        <v>1</v>
      </c>
      <c r="G3" s="3">
        <v>1</v>
      </c>
      <c r="H3" s="3"/>
      <c r="I3" s="3"/>
      <c r="J3" s="3"/>
      <c r="K3" s="11">
        <v>2</v>
      </c>
      <c r="L3" s="11">
        <v>3</v>
      </c>
      <c r="M3" s="21">
        <v>5</v>
      </c>
      <c r="N3" s="27" t="s">
        <v>116</v>
      </c>
      <c r="O3" s="3">
        <v>0.71</v>
      </c>
      <c r="P3" s="25">
        <v>2.81</v>
      </c>
      <c r="Q3" s="23">
        <v>7.04</v>
      </c>
    </row>
    <row r="4" spans="1:17" ht="15.75" x14ac:dyDescent="0.25">
      <c r="A4" s="3" t="s">
        <v>4</v>
      </c>
      <c r="B4" s="3">
        <v>5</v>
      </c>
      <c r="C4" s="3">
        <v>13</v>
      </c>
      <c r="D4" s="3">
        <v>1</v>
      </c>
      <c r="E4" s="3">
        <v>2</v>
      </c>
      <c r="F4" s="3">
        <v>12</v>
      </c>
      <c r="G4" s="3">
        <v>2</v>
      </c>
      <c r="H4" s="3">
        <v>2</v>
      </c>
      <c r="I4" s="3"/>
      <c r="J4" s="3"/>
      <c r="K4" s="11">
        <f>C4+E4+F4</f>
        <v>27</v>
      </c>
      <c r="L4" s="11">
        <v>10</v>
      </c>
      <c r="M4" s="21">
        <v>37</v>
      </c>
      <c r="N4" s="27" t="s">
        <v>105</v>
      </c>
      <c r="O4" s="3">
        <v>6.39</v>
      </c>
      <c r="P4" s="25">
        <v>4.22</v>
      </c>
      <c r="Q4" s="23">
        <v>5.79</v>
      </c>
    </row>
    <row r="5" spans="1:17" ht="15.75" x14ac:dyDescent="0.25">
      <c r="A5" s="3" t="s">
        <v>5</v>
      </c>
      <c r="B5" s="3"/>
      <c r="C5" s="3">
        <v>4</v>
      </c>
      <c r="D5" s="3">
        <v>1</v>
      </c>
      <c r="E5" s="3"/>
      <c r="F5" s="3">
        <v>6</v>
      </c>
      <c r="G5" s="3">
        <v>2</v>
      </c>
      <c r="H5" s="3">
        <v>1</v>
      </c>
      <c r="I5" s="3">
        <v>1</v>
      </c>
      <c r="J5" s="3"/>
      <c r="K5" s="11">
        <v>5</v>
      </c>
      <c r="L5" s="11">
        <v>10</v>
      </c>
      <c r="M5" s="21">
        <v>15</v>
      </c>
      <c r="N5" s="27" t="s">
        <v>93</v>
      </c>
      <c r="O5" s="3">
        <v>2.915</v>
      </c>
      <c r="P5" s="25">
        <v>1.71</v>
      </c>
      <c r="Q5" s="23">
        <v>5.15</v>
      </c>
    </row>
    <row r="6" spans="1:17" ht="15.75" x14ac:dyDescent="0.25">
      <c r="A6" s="3" t="s">
        <v>6</v>
      </c>
      <c r="B6" s="3">
        <v>10</v>
      </c>
      <c r="C6" s="3">
        <v>72</v>
      </c>
      <c r="D6" s="3">
        <v>2</v>
      </c>
      <c r="E6" s="3">
        <v>3</v>
      </c>
      <c r="F6" s="3">
        <v>59</v>
      </c>
      <c r="G6" s="3">
        <v>11</v>
      </c>
      <c r="H6" s="3">
        <v>7</v>
      </c>
      <c r="I6" s="3">
        <v>1</v>
      </c>
      <c r="J6" s="3">
        <v>2</v>
      </c>
      <c r="K6" s="11">
        <f>J6+F6+E6+C6</f>
        <v>136</v>
      </c>
      <c r="L6" s="11">
        <f>B6+D6+G6+H6+I6</f>
        <v>31</v>
      </c>
      <c r="M6" s="21">
        <f>SUM(K6:L6)</f>
        <v>167</v>
      </c>
      <c r="N6" s="27" t="s">
        <v>106</v>
      </c>
      <c r="O6" s="3">
        <v>37.25</v>
      </c>
      <c r="P6" s="25">
        <v>3.65</v>
      </c>
      <c r="Q6" s="23">
        <v>4.4800000000000004</v>
      </c>
    </row>
    <row r="7" spans="1:17" ht="15.75" x14ac:dyDescent="0.25">
      <c r="A7" s="3" t="s">
        <v>7</v>
      </c>
      <c r="B7" s="3"/>
      <c r="C7" s="3">
        <v>6</v>
      </c>
      <c r="D7" s="3"/>
      <c r="E7" s="3">
        <v>1</v>
      </c>
      <c r="F7" s="3">
        <v>5</v>
      </c>
      <c r="G7" s="3">
        <v>2</v>
      </c>
      <c r="H7" s="3">
        <v>1</v>
      </c>
      <c r="I7" s="3"/>
      <c r="J7" s="3"/>
      <c r="K7" s="11">
        <v>12</v>
      </c>
      <c r="L7" s="11">
        <v>3</v>
      </c>
      <c r="M7" s="21">
        <v>15</v>
      </c>
      <c r="N7" s="27" t="s">
        <v>88</v>
      </c>
      <c r="O7" s="3">
        <v>5.0289999999999999</v>
      </c>
      <c r="P7" s="25">
        <v>2.38</v>
      </c>
      <c r="Q7" s="23">
        <v>2.98</v>
      </c>
    </row>
    <row r="8" spans="1:17" ht="15.75" x14ac:dyDescent="0.25">
      <c r="A8" s="3" t="s">
        <v>8</v>
      </c>
      <c r="B8" s="3"/>
      <c r="C8" s="3">
        <v>8</v>
      </c>
      <c r="D8" s="3"/>
      <c r="E8" s="3">
        <v>1</v>
      </c>
      <c r="F8" s="3">
        <v>4</v>
      </c>
      <c r="G8" s="3"/>
      <c r="H8" s="3">
        <v>1</v>
      </c>
      <c r="I8" s="3"/>
      <c r="J8" s="3"/>
      <c r="K8" s="11">
        <v>13</v>
      </c>
      <c r="L8" s="11">
        <v>1</v>
      </c>
      <c r="M8" s="21">
        <v>14</v>
      </c>
      <c r="N8" s="27" t="s">
        <v>93</v>
      </c>
      <c r="O8" s="3">
        <v>3.57</v>
      </c>
      <c r="P8" s="25">
        <v>3.64</v>
      </c>
      <c r="Q8" s="23">
        <v>3.92</v>
      </c>
    </row>
    <row r="9" spans="1:17" ht="15.75" x14ac:dyDescent="0.25">
      <c r="A9" s="3" t="s">
        <v>9</v>
      </c>
      <c r="B9" s="3"/>
      <c r="C9" s="3">
        <v>1</v>
      </c>
      <c r="D9" s="3">
        <v>1</v>
      </c>
      <c r="E9" s="3"/>
      <c r="F9" s="3">
        <v>2</v>
      </c>
      <c r="G9" s="3">
        <v>1</v>
      </c>
      <c r="H9" s="3"/>
      <c r="I9" s="3"/>
      <c r="J9" s="3"/>
      <c r="K9" s="11">
        <v>3</v>
      </c>
      <c r="L9" s="11">
        <v>2</v>
      </c>
      <c r="M9" s="21">
        <v>5</v>
      </c>
      <c r="N9" s="27" t="s">
        <v>80</v>
      </c>
      <c r="O9" s="3">
        <v>0.89700000000000002</v>
      </c>
      <c r="P9" s="25">
        <v>3.34</v>
      </c>
      <c r="Q9" s="23">
        <v>5.57</v>
      </c>
    </row>
    <row r="10" spans="1:17" ht="15.75" x14ac:dyDescent="0.25">
      <c r="A10" s="3" t="s">
        <v>10</v>
      </c>
      <c r="B10" s="3" t="s">
        <v>62</v>
      </c>
      <c r="C10" s="3"/>
      <c r="D10" s="3" t="s">
        <v>63</v>
      </c>
      <c r="E10" s="3"/>
      <c r="F10" s="3" t="s">
        <v>63</v>
      </c>
      <c r="G10" s="3"/>
      <c r="H10" s="3" t="s">
        <v>63</v>
      </c>
      <c r="I10" s="3"/>
      <c r="J10" s="3" t="s">
        <v>63</v>
      </c>
      <c r="K10" s="11" t="s">
        <v>63</v>
      </c>
      <c r="L10" s="11" t="s">
        <v>63</v>
      </c>
      <c r="M10" s="21" t="s">
        <v>62</v>
      </c>
      <c r="N10" s="27"/>
    </row>
    <row r="11" spans="1:17" ht="15.75" x14ac:dyDescent="0.25">
      <c r="A11" s="3" t="s">
        <v>11</v>
      </c>
      <c r="B11" s="3">
        <v>8</v>
      </c>
      <c r="C11" s="3">
        <v>27</v>
      </c>
      <c r="D11" s="3">
        <v>1</v>
      </c>
      <c r="E11" s="3"/>
      <c r="F11" s="3">
        <v>20</v>
      </c>
      <c r="G11" s="3">
        <v>5</v>
      </c>
      <c r="H11" s="3">
        <v>3</v>
      </c>
      <c r="I11" s="3"/>
      <c r="J11" s="3"/>
      <c r="K11" s="11">
        <f>C11+F11+1</f>
        <v>48</v>
      </c>
      <c r="L11" s="11">
        <f>B11+D11+G11+2</f>
        <v>16</v>
      </c>
      <c r="M11" s="21">
        <v>64</v>
      </c>
      <c r="N11" s="27" t="s">
        <v>107</v>
      </c>
      <c r="O11" s="3">
        <v>9.6869999999999994</v>
      </c>
      <c r="P11" s="25">
        <v>4.95</v>
      </c>
      <c r="Q11" s="23">
        <f t="shared" ref="Q11:Q51" si="0">M11/O11</f>
        <v>6.6067926086507693</v>
      </c>
    </row>
    <row r="12" spans="1:17" ht="15.75" x14ac:dyDescent="0.25">
      <c r="A12" s="7" t="s">
        <v>12</v>
      </c>
      <c r="B12" s="3"/>
      <c r="C12" s="3">
        <v>2</v>
      </c>
      <c r="D12" s="3"/>
      <c r="E12" s="3"/>
      <c r="F12" s="3">
        <v>5</v>
      </c>
      <c r="G12" s="3"/>
      <c r="H12" s="3"/>
      <c r="I12" s="3"/>
      <c r="J12" s="3"/>
      <c r="K12" s="11">
        <v>7</v>
      </c>
      <c r="L12" s="11">
        <v>0</v>
      </c>
      <c r="M12" s="21">
        <v>7</v>
      </c>
      <c r="N12" s="27">
        <v>0</v>
      </c>
      <c r="O12" s="3">
        <v>1.36</v>
      </c>
      <c r="P12" s="25">
        <v>5.14</v>
      </c>
      <c r="Q12" s="23">
        <f t="shared" si="0"/>
        <v>5.1470588235294112</v>
      </c>
    </row>
    <row r="13" spans="1:17" ht="15.75" x14ac:dyDescent="0.25">
      <c r="A13" s="3" t="s">
        <v>13</v>
      </c>
      <c r="B13" s="3"/>
      <c r="C13" s="3">
        <v>5</v>
      </c>
      <c r="D13" s="3"/>
      <c r="E13" s="3"/>
      <c r="F13" s="3">
        <v>1</v>
      </c>
      <c r="G13" s="3">
        <v>1</v>
      </c>
      <c r="H13" s="3"/>
      <c r="I13" s="3"/>
      <c r="J13" s="3">
        <v>1</v>
      </c>
      <c r="K13" s="11">
        <v>7</v>
      </c>
      <c r="L13" s="11">
        <v>1</v>
      </c>
      <c r="M13" s="21">
        <v>8</v>
      </c>
      <c r="N13" s="27">
        <v>0</v>
      </c>
      <c r="O13" s="3">
        <v>1.5669999999999999</v>
      </c>
      <c r="P13" s="25">
        <v>4.46</v>
      </c>
      <c r="Q13" s="23">
        <f t="shared" si="0"/>
        <v>5.1052967453733249</v>
      </c>
    </row>
    <row r="14" spans="1:17" ht="15.75" x14ac:dyDescent="0.25">
      <c r="A14" s="3" t="s">
        <v>14</v>
      </c>
      <c r="B14" s="3"/>
      <c r="C14" s="3">
        <v>6</v>
      </c>
      <c r="D14" s="3"/>
      <c r="E14" s="3">
        <v>1</v>
      </c>
      <c r="F14" s="3">
        <v>7</v>
      </c>
      <c r="G14" s="3">
        <v>2</v>
      </c>
      <c r="H14" s="3"/>
      <c r="I14" s="3"/>
      <c r="J14" s="3"/>
      <c r="K14" s="11">
        <v>14</v>
      </c>
      <c r="L14" s="11">
        <v>2</v>
      </c>
      <c r="M14" s="21">
        <v>16</v>
      </c>
      <c r="N14" s="27" t="s">
        <v>70</v>
      </c>
      <c r="O14" s="3">
        <v>12.83</v>
      </c>
      <c r="P14" s="52">
        <v>1.0900000000000001</v>
      </c>
      <c r="Q14" s="23">
        <f t="shared" si="0"/>
        <v>1.2470771628994544</v>
      </c>
    </row>
    <row r="15" spans="1:17" ht="15.75" x14ac:dyDescent="0.25">
      <c r="A15" s="3" t="s">
        <v>15</v>
      </c>
      <c r="B15" s="3">
        <v>1</v>
      </c>
      <c r="C15" s="3">
        <v>7</v>
      </c>
      <c r="D15" s="3"/>
      <c r="E15" s="3">
        <v>3</v>
      </c>
      <c r="F15" s="3">
        <v>10</v>
      </c>
      <c r="G15" s="3">
        <v>2</v>
      </c>
      <c r="H15" s="3"/>
      <c r="I15" s="3"/>
      <c r="J15" s="3"/>
      <c r="K15" s="11">
        <v>20</v>
      </c>
      <c r="L15" s="11">
        <v>3</v>
      </c>
      <c r="M15" s="21">
        <v>23</v>
      </c>
      <c r="N15" s="27" t="s">
        <v>96</v>
      </c>
      <c r="O15" s="3">
        <v>6.48</v>
      </c>
      <c r="P15" s="52">
        <v>3.09</v>
      </c>
      <c r="Q15" s="23">
        <f t="shared" si="0"/>
        <v>3.5493827160493825</v>
      </c>
    </row>
    <row r="16" spans="1:17" ht="15.75" x14ac:dyDescent="0.25">
      <c r="A16" s="3" t="s">
        <v>16</v>
      </c>
      <c r="B16" s="3"/>
      <c r="C16" s="3">
        <v>5</v>
      </c>
      <c r="D16" s="3"/>
      <c r="E16" s="3"/>
      <c r="F16" s="3">
        <v>4</v>
      </c>
      <c r="G16" s="3">
        <v>1</v>
      </c>
      <c r="H16" s="3"/>
      <c r="I16" s="3"/>
      <c r="J16" s="3"/>
      <c r="K16" s="11">
        <v>9</v>
      </c>
      <c r="L16" s="11">
        <v>1</v>
      </c>
      <c r="M16" s="21">
        <v>19</v>
      </c>
      <c r="N16" s="27" t="s">
        <v>68</v>
      </c>
      <c r="O16" s="3">
        <v>3.0459999999999998</v>
      </c>
      <c r="P16" s="52">
        <v>2.95</v>
      </c>
      <c r="Q16" s="23">
        <f t="shared" si="0"/>
        <v>6.2376887721602108</v>
      </c>
    </row>
    <row r="17" spans="1:17" ht="15.75" x14ac:dyDescent="0.25">
      <c r="A17" s="3" t="s">
        <v>17</v>
      </c>
      <c r="B17" s="3">
        <v>1</v>
      </c>
      <c r="C17" s="3">
        <v>8</v>
      </c>
      <c r="D17" s="3"/>
      <c r="E17" s="3">
        <v>1</v>
      </c>
      <c r="F17" s="3">
        <v>5</v>
      </c>
      <c r="G17" s="3">
        <v>1</v>
      </c>
      <c r="H17" s="3"/>
      <c r="I17" s="3"/>
      <c r="J17" s="3">
        <v>1</v>
      </c>
      <c r="K17" s="11">
        <v>15</v>
      </c>
      <c r="L17" s="11">
        <v>2</v>
      </c>
      <c r="M17" s="21">
        <v>17</v>
      </c>
      <c r="N17" s="27" t="s">
        <v>93</v>
      </c>
      <c r="O17" s="3">
        <v>2.85</v>
      </c>
      <c r="P17" s="52">
        <v>5.26</v>
      </c>
      <c r="Q17" s="23">
        <f t="shared" si="0"/>
        <v>5.9649122807017543</v>
      </c>
    </row>
    <row r="18" spans="1:17" ht="15.75" x14ac:dyDescent="0.25">
      <c r="A18" s="3" t="s">
        <v>18</v>
      </c>
      <c r="B18" s="3">
        <v>5</v>
      </c>
      <c r="C18" s="3">
        <v>12</v>
      </c>
      <c r="D18" s="3"/>
      <c r="E18" s="3">
        <v>2</v>
      </c>
      <c r="F18" s="3">
        <v>8</v>
      </c>
      <c r="G18" s="3">
        <v>5</v>
      </c>
      <c r="H18" s="3"/>
      <c r="I18" s="3"/>
      <c r="J18" s="3"/>
      <c r="K18" s="11">
        <v>22</v>
      </c>
      <c r="L18" s="11">
        <v>10</v>
      </c>
      <c r="M18" s="21">
        <v>32</v>
      </c>
      <c r="N18" s="27" t="s">
        <v>108</v>
      </c>
      <c r="O18" s="3">
        <v>4.33</v>
      </c>
      <c r="P18" s="52">
        <v>5.08</v>
      </c>
      <c r="Q18" s="23">
        <f t="shared" si="0"/>
        <v>7.3903002309468819</v>
      </c>
    </row>
    <row r="19" spans="1:17" ht="15.75" x14ac:dyDescent="0.25">
      <c r="A19" s="3" t="s">
        <v>19</v>
      </c>
      <c r="B19" s="3">
        <v>2</v>
      </c>
      <c r="C19" s="3">
        <v>15</v>
      </c>
      <c r="D19" s="3"/>
      <c r="E19" s="3">
        <v>1</v>
      </c>
      <c r="F19" s="3">
        <v>10</v>
      </c>
      <c r="G19" s="3">
        <v>6</v>
      </c>
      <c r="H19" s="3"/>
      <c r="I19" s="3"/>
      <c r="J19" s="3"/>
      <c r="K19" s="11">
        <v>26</v>
      </c>
      <c r="L19" s="11">
        <v>8</v>
      </c>
      <c r="M19" s="21">
        <v>34</v>
      </c>
      <c r="N19" s="27" t="s">
        <v>70</v>
      </c>
      <c r="O19" s="3">
        <v>4.53</v>
      </c>
      <c r="P19" s="52">
        <v>5.74</v>
      </c>
      <c r="Q19" s="23">
        <f t="shared" si="0"/>
        <v>7.5055187637969087</v>
      </c>
    </row>
    <row r="20" spans="1:17" ht="15.75" x14ac:dyDescent="0.25">
      <c r="A20" s="3" t="s">
        <v>20</v>
      </c>
      <c r="B20" s="3"/>
      <c r="C20" s="3">
        <v>5</v>
      </c>
      <c r="D20" s="3"/>
      <c r="E20" s="3"/>
      <c r="F20" s="3">
        <v>1</v>
      </c>
      <c r="G20" s="3"/>
      <c r="H20" s="3"/>
      <c r="I20" s="3"/>
      <c r="J20" s="3"/>
      <c r="K20" s="11">
        <v>6</v>
      </c>
      <c r="L20" s="11">
        <v>0</v>
      </c>
      <c r="M20" s="21">
        <v>6</v>
      </c>
      <c r="N20" s="27" t="s">
        <v>68</v>
      </c>
      <c r="O20" s="3">
        <v>1.3280000000000001</v>
      </c>
      <c r="P20" s="52">
        <v>4.5199999999999996</v>
      </c>
      <c r="Q20" s="23">
        <f t="shared" si="0"/>
        <v>4.5180722891566258</v>
      </c>
    </row>
    <row r="21" spans="1:17" ht="15.75" x14ac:dyDescent="0.25">
      <c r="A21" s="3" t="s">
        <v>21</v>
      </c>
      <c r="B21" s="3"/>
      <c r="C21" s="3">
        <v>8</v>
      </c>
      <c r="D21" s="3"/>
      <c r="E21" s="3">
        <v>1</v>
      </c>
      <c r="F21" s="3">
        <v>7</v>
      </c>
      <c r="G21" s="3">
        <v>1</v>
      </c>
      <c r="H21" s="3"/>
      <c r="I21" s="3"/>
      <c r="J21" s="3">
        <v>1</v>
      </c>
      <c r="K21" s="11">
        <v>17</v>
      </c>
      <c r="L21" s="11">
        <v>1</v>
      </c>
      <c r="M21" s="21">
        <v>18</v>
      </c>
      <c r="N21" s="27" t="s">
        <v>92</v>
      </c>
      <c r="O21" s="3">
        <v>5.77</v>
      </c>
      <c r="P21" s="52">
        <v>2.95</v>
      </c>
      <c r="Q21" s="23">
        <f t="shared" si="0"/>
        <v>3.1195840554592724</v>
      </c>
    </row>
    <row r="22" spans="1:17" ht="15.75" x14ac:dyDescent="0.25">
      <c r="A22" s="3" t="s">
        <v>59</v>
      </c>
      <c r="B22" s="3"/>
      <c r="C22" s="3">
        <v>10</v>
      </c>
      <c r="D22" s="3"/>
      <c r="E22" s="3"/>
      <c r="F22" s="3">
        <v>10</v>
      </c>
      <c r="G22" s="3">
        <v>1</v>
      </c>
      <c r="H22" s="3"/>
      <c r="I22" s="3"/>
      <c r="J22" s="3"/>
      <c r="K22" s="11">
        <v>20</v>
      </c>
      <c r="L22" s="11">
        <v>1</v>
      </c>
      <c r="M22" s="21">
        <v>21</v>
      </c>
      <c r="N22" s="27" t="s">
        <v>88</v>
      </c>
      <c r="O22" s="3">
        <v>6.5469999999999997</v>
      </c>
      <c r="P22" s="52">
        <v>3.05</v>
      </c>
      <c r="Q22" s="23">
        <f t="shared" si="0"/>
        <v>3.2075759890025966</v>
      </c>
    </row>
    <row r="23" spans="1:17" ht="15.75" x14ac:dyDescent="0.25">
      <c r="A23" s="3" t="s">
        <v>22</v>
      </c>
      <c r="B23" s="3">
        <v>2</v>
      </c>
      <c r="C23" s="3">
        <v>11</v>
      </c>
      <c r="D23" s="3"/>
      <c r="E23" s="3">
        <v>2</v>
      </c>
      <c r="F23" s="3">
        <v>12</v>
      </c>
      <c r="G23" s="3">
        <v>7</v>
      </c>
      <c r="H23" s="3"/>
      <c r="I23" s="3"/>
      <c r="J23" s="3">
        <v>3</v>
      </c>
      <c r="K23" s="11">
        <f>C23+E23+F23+3</f>
        <v>28</v>
      </c>
      <c r="L23" s="11">
        <f>B23+G23</f>
        <v>9</v>
      </c>
      <c r="M23" s="21">
        <v>37</v>
      </c>
      <c r="N23" s="27" t="s">
        <v>109</v>
      </c>
      <c r="O23" s="3">
        <v>9.8800000000000008</v>
      </c>
      <c r="P23" s="52">
        <v>2.83</v>
      </c>
      <c r="Q23" s="23">
        <f t="shared" si="0"/>
        <v>3.7449392712550607</v>
      </c>
    </row>
    <row r="24" spans="1:17" ht="15.75" x14ac:dyDescent="0.25">
      <c r="A24" s="3" t="s">
        <v>23</v>
      </c>
      <c r="B24" s="3">
        <v>1</v>
      </c>
      <c r="C24" s="3">
        <v>5</v>
      </c>
      <c r="D24" s="3"/>
      <c r="E24" s="3">
        <v>2</v>
      </c>
      <c r="F24" s="3">
        <v>3</v>
      </c>
      <c r="G24" s="3"/>
      <c r="H24" s="3"/>
      <c r="I24" s="3"/>
      <c r="J24" s="3"/>
      <c r="K24" s="11">
        <f>5+2+3</f>
        <v>10</v>
      </c>
      <c r="L24" s="11">
        <v>1</v>
      </c>
      <c r="M24" s="21">
        <v>11</v>
      </c>
      <c r="N24" s="27" t="s">
        <v>80</v>
      </c>
      <c r="O24" s="3">
        <v>5.3</v>
      </c>
      <c r="P24" s="52">
        <v>1.89</v>
      </c>
      <c r="Q24" s="23">
        <f t="shared" si="0"/>
        <v>2.0754716981132075</v>
      </c>
    </row>
    <row r="25" spans="1:17" ht="15.75" x14ac:dyDescent="0.25">
      <c r="A25" s="3" t="s">
        <v>24</v>
      </c>
      <c r="B25" s="3">
        <v>1</v>
      </c>
      <c r="C25" s="3">
        <v>6</v>
      </c>
      <c r="D25" s="3"/>
      <c r="E25" s="3"/>
      <c r="F25" s="3">
        <v>5</v>
      </c>
      <c r="G25" s="3">
        <v>4</v>
      </c>
      <c r="H25" s="3"/>
      <c r="I25" s="3"/>
      <c r="J25" s="3"/>
      <c r="K25" s="11">
        <v>11</v>
      </c>
      <c r="L25" s="11">
        <v>5</v>
      </c>
      <c r="M25" s="21">
        <v>16</v>
      </c>
      <c r="N25" s="27" t="s">
        <v>88</v>
      </c>
      <c r="O25" s="3">
        <v>2.96</v>
      </c>
      <c r="P25" s="52">
        <v>3.72</v>
      </c>
      <c r="Q25" s="23">
        <f t="shared" si="0"/>
        <v>5.4054054054054053</v>
      </c>
    </row>
    <row r="26" spans="1:17" ht="15.75" x14ac:dyDescent="0.25">
      <c r="A26" s="3" t="s">
        <v>25</v>
      </c>
      <c r="B26" s="3">
        <v>3</v>
      </c>
      <c r="C26" s="3">
        <v>10</v>
      </c>
      <c r="D26" s="3"/>
      <c r="E26" s="3">
        <v>3</v>
      </c>
      <c r="F26" s="3">
        <v>17</v>
      </c>
      <c r="G26" s="3">
        <v>8</v>
      </c>
      <c r="H26" s="3"/>
      <c r="I26" s="3"/>
      <c r="J26" s="3"/>
      <c r="K26" s="11">
        <f>C26+E26+F26</f>
        <v>30</v>
      </c>
      <c r="L26" s="11">
        <v>11</v>
      </c>
      <c r="M26" s="21">
        <v>41</v>
      </c>
      <c r="N26" s="27" t="s">
        <v>82</v>
      </c>
      <c r="O26" s="3">
        <v>5.9880000000000004</v>
      </c>
      <c r="P26" s="52">
        <v>5.01</v>
      </c>
      <c r="Q26" s="23">
        <f t="shared" si="0"/>
        <v>6.8470273881095522</v>
      </c>
    </row>
    <row r="27" spans="1:17" ht="15.75" x14ac:dyDescent="0.25">
      <c r="A27" s="3" t="s">
        <v>26</v>
      </c>
      <c r="B27" s="3"/>
      <c r="C27" s="3">
        <v>4</v>
      </c>
      <c r="D27" s="3"/>
      <c r="E27" s="3"/>
      <c r="F27" s="3">
        <v>3</v>
      </c>
      <c r="G27" s="3"/>
      <c r="H27" s="3"/>
      <c r="I27" s="3"/>
      <c r="J27" s="3"/>
      <c r="K27" s="11">
        <v>7</v>
      </c>
      <c r="L27" s="11">
        <v>0</v>
      </c>
      <c r="M27" s="21">
        <v>7</v>
      </c>
      <c r="N27" s="27" t="s">
        <v>80</v>
      </c>
      <c r="O27" s="3">
        <v>0.98899999999999999</v>
      </c>
      <c r="P27" s="52">
        <v>7.08</v>
      </c>
      <c r="Q27" s="23">
        <f t="shared" si="0"/>
        <v>7.0778564206268957</v>
      </c>
    </row>
    <row r="28" spans="1:17" ht="15.75" x14ac:dyDescent="0.25">
      <c r="A28" s="3" t="s">
        <v>27</v>
      </c>
      <c r="B28" s="3"/>
      <c r="C28" s="3">
        <v>4</v>
      </c>
      <c r="D28" s="3"/>
      <c r="E28" s="3"/>
      <c r="F28" s="3"/>
      <c r="G28" s="3"/>
      <c r="H28" s="3"/>
      <c r="I28" s="3"/>
      <c r="J28" s="3"/>
      <c r="K28" s="11">
        <v>4</v>
      </c>
      <c r="L28" s="11">
        <v>0</v>
      </c>
      <c r="M28" s="21">
        <v>4</v>
      </c>
      <c r="N28" s="27" t="s">
        <v>68</v>
      </c>
      <c r="O28" s="3">
        <v>1.82</v>
      </c>
      <c r="P28" s="52">
        <v>2.2000000000000002</v>
      </c>
      <c r="Q28" s="23">
        <f t="shared" si="0"/>
        <v>2.1978021978021975</v>
      </c>
    </row>
    <row r="29" spans="1:17" ht="15.75" x14ac:dyDescent="0.25">
      <c r="A29" s="3" t="s">
        <v>28</v>
      </c>
      <c r="B29" s="3">
        <v>3</v>
      </c>
      <c r="C29" s="3">
        <v>8</v>
      </c>
      <c r="D29" s="3"/>
      <c r="E29" s="3"/>
      <c r="F29" s="3">
        <v>10</v>
      </c>
      <c r="G29" s="3">
        <v>1</v>
      </c>
      <c r="H29" s="3"/>
      <c r="I29" s="3"/>
      <c r="J29" s="3"/>
      <c r="K29" s="11">
        <f>C29+F29</f>
        <v>18</v>
      </c>
      <c r="L29" s="11">
        <v>4</v>
      </c>
      <c r="M29" s="21">
        <v>22</v>
      </c>
      <c r="N29" s="27" t="s">
        <v>79</v>
      </c>
      <c r="O29" s="3">
        <v>2.7</v>
      </c>
      <c r="P29" s="52">
        <v>6.67</v>
      </c>
      <c r="Q29" s="23">
        <f t="shared" si="0"/>
        <v>8.148148148148147</v>
      </c>
    </row>
    <row r="30" spans="1:17" ht="15.75" x14ac:dyDescent="0.25">
      <c r="A30" s="3" t="s">
        <v>29</v>
      </c>
      <c r="B30" s="3">
        <v>1</v>
      </c>
      <c r="C30" s="3">
        <v>1</v>
      </c>
      <c r="D30" s="3"/>
      <c r="E30" s="3"/>
      <c r="F30" s="3">
        <v>2</v>
      </c>
      <c r="G30" s="3"/>
      <c r="H30" s="3"/>
      <c r="I30" s="3"/>
      <c r="J30" s="3">
        <v>1</v>
      </c>
      <c r="K30" s="11">
        <v>4</v>
      </c>
      <c r="L30" s="11">
        <v>1</v>
      </c>
      <c r="M30" s="21">
        <v>5</v>
      </c>
      <c r="N30" s="27" t="s">
        <v>110</v>
      </c>
      <c r="O30" s="3">
        <v>1.31</v>
      </c>
      <c r="P30" s="52">
        <v>3.05</v>
      </c>
      <c r="Q30" s="23">
        <f t="shared" si="0"/>
        <v>3.8167938931297707</v>
      </c>
    </row>
    <row r="31" spans="1:17" ht="15.75" x14ac:dyDescent="0.25">
      <c r="A31" s="3" t="s">
        <v>30</v>
      </c>
      <c r="B31" s="3">
        <v>2</v>
      </c>
      <c r="C31" s="3">
        <v>8</v>
      </c>
      <c r="D31" s="3"/>
      <c r="E31" s="3"/>
      <c r="F31" s="3">
        <v>6</v>
      </c>
      <c r="G31" s="3">
        <v>5</v>
      </c>
      <c r="H31" s="3">
        <v>1</v>
      </c>
      <c r="I31" s="3"/>
      <c r="J31" s="3"/>
      <c r="K31" s="11">
        <f>C31+F31</f>
        <v>14</v>
      </c>
      <c r="L31" s="11">
        <f>B31+G31+H31</f>
        <v>8</v>
      </c>
      <c r="M31" s="21">
        <v>22</v>
      </c>
      <c r="N31" s="27" t="s">
        <v>111</v>
      </c>
      <c r="O31" s="3">
        <v>8.7899999999999991</v>
      </c>
      <c r="P31" s="52">
        <v>1.59</v>
      </c>
      <c r="Q31" s="23">
        <f t="shared" si="0"/>
        <v>2.5028441410693971</v>
      </c>
    </row>
    <row r="32" spans="1:17" ht="15.75" x14ac:dyDescent="0.25">
      <c r="A32" s="3" t="s">
        <v>31</v>
      </c>
      <c r="B32" s="3"/>
      <c r="C32" s="3">
        <v>3</v>
      </c>
      <c r="D32" s="3"/>
      <c r="E32" s="3"/>
      <c r="F32" s="3">
        <v>5</v>
      </c>
      <c r="G32" s="3">
        <v>1</v>
      </c>
      <c r="H32" s="3"/>
      <c r="I32" s="3"/>
      <c r="J32" s="3"/>
      <c r="K32" s="11">
        <v>8</v>
      </c>
      <c r="L32" s="11">
        <v>1</v>
      </c>
      <c r="M32" s="21">
        <v>9</v>
      </c>
      <c r="N32" s="27" t="s">
        <v>112</v>
      </c>
      <c r="O32" s="3">
        <v>2.0590000000000002</v>
      </c>
      <c r="P32" s="52">
        <v>3.89</v>
      </c>
      <c r="Q32" s="23">
        <f t="shared" si="0"/>
        <v>4.3710539096648855</v>
      </c>
    </row>
    <row r="33" spans="1:17" ht="15.75" x14ac:dyDescent="0.25">
      <c r="A33" s="3" t="s">
        <v>32</v>
      </c>
      <c r="B33" s="3">
        <v>3</v>
      </c>
      <c r="C33" s="3">
        <v>16</v>
      </c>
      <c r="D33" s="3"/>
      <c r="E33" s="3">
        <v>1</v>
      </c>
      <c r="F33" s="3">
        <v>37</v>
      </c>
      <c r="G33" s="3">
        <v>7</v>
      </c>
      <c r="H33" s="3">
        <v>1</v>
      </c>
      <c r="I33" s="3"/>
      <c r="J33" s="3"/>
      <c r="K33" s="11">
        <f>C33+F33+E33</f>
        <v>54</v>
      </c>
      <c r="L33" s="11">
        <f>B33+G33+H33</f>
        <v>11</v>
      </c>
      <c r="M33" s="21">
        <v>65</v>
      </c>
      <c r="N33" s="27" t="s">
        <v>113</v>
      </c>
      <c r="O33" s="3">
        <v>19.37</v>
      </c>
      <c r="P33" s="52">
        <v>2.79</v>
      </c>
      <c r="Q33" s="23">
        <f t="shared" si="0"/>
        <v>3.3557046979865772</v>
      </c>
    </row>
    <row r="34" spans="1:17" ht="15.75" x14ac:dyDescent="0.25">
      <c r="A34" s="3" t="s">
        <v>33</v>
      </c>
      <c r="B34" s="3">
        <v>1</v>
      </c>
      <c r="C34" s="3">
        <v>18</v>
      </c>
      <c r="D34" s="3"/>
      <c r="E34" s="3"/>
      <c r="F34" s="3">
        <v>23</v>
      </c>
      <c r="G34" s="3">
        <v>6</v>
      </c>
      <c r="H34" s="3"/>
      <c r="I34" s="3">
        <v>1</v>
      </c>
      <c r="J34" s="3"/>
      <c r="K34" s="11">
        <f>C34+F34</f>
        <v>41</v>
      </c>
      <c r="L34" s="11">
        <f>B34+G34+I34</f>
        <v>8</v>
      </c>
      <c r="M34" s="21">
        <f>SUM(K34:L34)</f>
        <v>49</v>
      </c>
      <c r="N34" s="27" t="s">
        <v>114</v>
      </c>
      <c r="O34" s="3">
        <v>9.5299999999999994</v>
      </c>
      <c r="P34" s="52">
        <v>4.3</v>
      </c>
      <c r="Q34" s="23">
        <f t="shared" si="0"/>
        <v>5.1416579223504728</v>
      </c>
    </row>
    <row r="35" spans="1:17" ht="15.75" x14ac:dyDescent="0.25">
      <c r="A35" s="3" t="s">
        <v>34</v>
      </c>
      <c r="B35" s="3"/>
      <c r="C35" s="3">
        <v>1</v>
      </c>
      <c r="D35" s="3"/>
      <c r="E35" s="3">
        <v>1</v>
      </c>
      <c r="F35" s="3">
        <v>1</v>
      </c>
      <c r="G35" s="3"/>
      <c r="H35" s="3"/>
      <c r="I35" s="3"/>
      <c r="J35" s="3"/>
      <c r="K35" s="11">
        <v>3</v>
      </c>
      <c r="L35" s="11">
        <v>0</v>
      </c>
      <c r="M35" s="21">
        <v>3</v>
      </c>
      <c r="N35" s="27" t="s">
        <v>80</v>
      </c>
      <c r="O35" s="3">
        <v>0.67200000000000004</v>
      </c>
      <c r="P35" s="52">
        <v>4.46</v>
      </c>
      <c r="Q35" s="23">
        <f t="shared" si="0"/>
        <v>4.4642857142857144</v>
      </c>
    </row>
    <row r="36" spans="1:17" ht="15.75" x14ac:dyDescent="0.25">
      <c r="A36" s="3" t="s">
        <v>35</v>
      </c>
      <c r="B36" s="3">
        <v>2</v>
      </c>
      <c r="C36" s="3">
        <v>18</v>
      </c>
      <c r="D36" s="3"/>
      <c r="E36" s="3"/>
      <c r="F36" s="3">
        <v>12</v>
      </c>
      <c r="G36" s="3">
        <v>6</v>
      </c>
      <c r="H36" s="3"/>
      <c r="I36" s="3"/>
      <c r="J36" s="3"/>
      <c r="K36" s="11">
        <f>C36+F36</f>
        <v>30</v>
      </c>
      <c r="L36" s="11">
        <f>B36+G36</f>
        <v>8</v>
      </c>
      <c r="M36" s="21">
        <v>38</v>
      </c>
      <c r="N36" s="27" t="s">
        <v>108</v>
      </c>
      <c r="O36" s="3">
        <v>11.53</v>
      </c>
      <c r="P36" s="52">
        <v>2.6</v>
      </c>
      <c r="Q36" s="23">
        <f t="shared" si="0"/>
        <v>3.2957502168256725</v>
      </c>
    </row>
    <row r="37" spans="1:17" ht="15.75" x14ac:dyDescent="0.25">
      <c r="A37" s="3" t="s">
        <v>36</v>
      </c>
      <c r="B37" s="3"/>
      <c r="C37" s="3">
        <v>6</v>
      </c>
      <c r="D37" s="3"/>
      <c r="E37" s="3">
        <v>2</v>
      </c>
      <c r="F37" s="3">
        <v>10</v>
      </c>
      <c r="G37" s="3">
        <v>4</v>
      </c>
      <c r="H37" s="3"/>
      <c r="I37" s="3"/>
      <c r="J37" s="3"/>
      <c r="K37" s="11">
        <f>C37+E37+F37</f>
        <v>18</v>
      </c>
      <c r="L37" s="11">
        <v>4</v>
      </c>
      <c r="M37" s="21">
        <v>22</v>
      </c>
      <c r="N37" s="27" t="s">
        <v>115</v>
      </c>
      <c r="O37" s="3">
        <v>3.75</v>
      </c>
      <c r="P37" s="52">
        <v>4.8</v>
      </c>
      <c r="Q37" s="23">
        <f t="shared" si="0"/>
        <v>5.8666666666666663</v>
      </c>
    </row>
    <row r="38" spans="1:17" ht="15.75" x14ac:dyDescent="0.25">
      <c r="A38" s="3" t="s">
        <v>37</v>
      </c>
      <c r="B38" s="3">
        <v>1</v>
      </c>
      <c r="C38" s="3">
        <v>11</v>
      </c>
      <c r="D38" s="3"/>
      <c r="E38" s="3"/>
      <c r="F38" s="3">
        <v>10</v>
      </c>
      <c r="G38" s="3">
        <v>2</v>
      </c>
      <c r="H38" s="3"/>
      <c r="I38" s="3"/>
      <c r="J38" s="3"/>
      <c r="K38" s="11">
        <v>21</v>
      </c>
      <c r="L38" s="11">
        <v>3</v>
      </c>
      <c r="M38" s="21">
        <v>24</v>
      </c>
      <c r="N38" s="27" t="s">
        <v>116</v>
      </c>
      <c r="O38" s="3">
        <v>3.83</v>
      </c>
      <c r="P38" s="52">
        <v>5.48</v>
      </c>
      <c r="Q38" s="23">
        <f t="shared" si="0"/>
        <v>6.2663185378590081</v>
      </c>
    </row>
    <row r="39" spans="1:17" ht="15.75" x14ac:dyDescent="0.25">
      <c r="A39" s="3" t="s">
        <v>38</v>
      </c>
      <c r="B39" s="3">
        <v>5</v>
      </c>
      <c r="C39" s="3">
        <v>17</v>
      </c>
      <c r="D39" s="3"/>
      <c r="E39" s="3"/>
      <c r="F39" s="3">
        <v>24</v>
      </c>
      <c r="G39" s="3">
        <v>9</v>
      </c>
      <c r="H39" s="3">
        <v>1</v>
      </c>
      <c r="I39" s="3">
        <v>1</v>
      </c>
      <c r="J39" s="3">
        <v>1</v>
      </c>
      <c r="K39" s="11">
        <f>C39+F39+J39</f>
        <v>42</v>
      </c>
      <c r="L39" s="11">
        <f>B39+G39+H39+I39</f>
        <v>16</v>
      </c>
      <c r="M39" s="21">
        <f>SUM(K39:L39)</f>
        <v>58</v>
      </c>
      <c r="N39" s="27" t="s">
        <v>117</v>
      </c>
      <c r="O39" s="3">
        <v>12.7</v>
      </c>
      <c r="P39" s="52">
        <v>3.31</v>
      </c>
      <c r="Q39" s="23">
        <f t="shared" si="0"/>
        <v>4.5669291338582676</v>
      </c>
    </row>
    <row r="40" spans="1:17" ht="15.75" x14ac:dyDescent="0.25">
      <c r="A40" s="3" t="s">
        <v>39</v>
      </c>
      <c r="B40" s="3"/>
      <c r="C40" s="3">
        <v>3</v>
      </c>
      <c r="D40" s="3">
        <v>1</v>
      </c>
      <c r="E40" s="3">
        <v>1</v>
      </c>
      <c r="F40" s="3">
        <v>2</v>
      </c>
      <c r="G40" s="3"/>
      <c r="H40" s="3"/>
      <c r="I40" s="3"/>
      <c r="J40" s="3"/>
      <c r="K40" s="11">
        <v>6</v>
      </c>
      <c r="L40" s="11">
        <v>1</v>
      </c>
      <c r="M40" s="21">
        <v>7</v>
      </c>
      <c r="N40" s="27" t="s">
        <v>68</v>
      </c>
      <c r="O40" s="3">
        <v>1.05</v>
      </c>
      <c r="P40" s="52">
        <v>5.71</v>
      </c>
      <c r="Q40" s="23">
        <f t="shared" si="0"/>
        <v>6.6666666666666661</v>
      </c>
    </row>
    <row r="41" spans="1:17" ht="15.75" x14ac:dyDescent="0.25">
      <c r="A41" s="3" t="s">
        <v>40</v>
      </c>
      <c r="B41" s="3">
        <v>3</v>
      </c>
      <c r="C41" s="3">
        <v>13</v>
      </c>
      <c r="D41" s="3"/>
      <c r="E41" s="3">
        <v>1</v>
      </c>
      <c r="F41" s="3">
        <v>14</v>
      </c>
      <c r="G41" s="3">
        <v>5</v>
      </c>
      <c r="H41" s="3"/>
      <c r="I41" s="3"/>
      <c r="J41" s="3">
        <v>3</v>
      </c>
      <c r="K41" s="11">
        <f>J41+F41+E41+C41</f>
        <v>31</v>
      </c>
      <c r="L41" s="11">
        <f>B41+G41</f>
        <v>8</v>
      </c>
      <c r="M41" s="21">
        <v>39</v>
      </c>
      <c r="N41" s="27" t="s">
        <v>79</v>
      </c>
      <c r="O41" s="3">
        <v>4.62</v>
      </c>
      <c r="P41" s="52">
        <v>6.71</v>
      </c>
      <c r="Q41" s="23">
        <f t="shared" si="0"/>
        <v>8.4415584415584419</v>
      </c>
    </row>
    <row r="42" spans="1:17" ht="15.75" x14ac:dyDescent="0.25">
      <c r="A42" s="3" t="s">
        <v>41</v>
      </c>
      <c r="B42" s="3">
        <v>2</v>
      </c>
      <c r="C42" s="3"/>
      <c r="D42" s="3"/>
      <c r="E42" s="3"/>
      <c r="F42" s="3"/>
      <c r="G42" s="3">
        <v>1</v>
      </c>
      <c r="H42" s="3"/>
      <c r="I42" s="3"/>
      <c r="J42" s="3"/>
      <c r="K42" s="11">
        <v>0</v>
      </c>
      <c r="L42" s="11">
        <v>3</v>
      </c>
      <c r="M42" s="21">
        <v>3</v>
      </c>
      <c r="N42" s="27" t="s">
        <v>70</v>
      </c>
      <c r="O42" s="3">
        <v>0.81399999999999995</v>
      </c>
      <c r="P42" s="52">
        <v>0</v>
      </c>
      <c r="Q42" s="23">
        <f t="shared" si="0"/>
        <v>3.6855036855036856</v>
      </c>
    </row>
    <row r="43" spans="1:17" ht="15.75" x14ac:dyDescent="0.25">
      <c r="A43" s="3" t="s">
        <v>42</v>
      </c>
      <c r="B43" s="3">
        <v>6</v>
      </c>
      <c r="C43" s="3">
        <v>14</v>
      </c>
      <c r="D43" s="3">
        <v>1</v>
      </c>
      <c r="E43" s="3">
        <v>1</v>
      </c>
      <c r="F43" s="3">
        <v>22</v>
      </c>
      <c r="G43" s="3">
        <v>9</v>
      </c>
      <c r="H43" s="3">
        <v>1</v>
      </c>
      <c r="I43" s="3"/>
      <c r="J43" s="3">
        <v>1</v>
      </c>
      <c r="K43" s="11">
        <f>J43+H43+F43+E43+C43</f>
        <v>39</v>
      </c>
      <c r="L43" s="11">
        <f>B43+D43+G43</f>
        <v>16</v>
      </c>
      <c r="M43" s="21">
        <f>SUM(K43:L43)</f>
        <v>55</v>
      </c>
      <c r="N43" s="27" t="s">
        <v>118</v>
      </c>
      <c r="O43" s="3">
        <v>6.3460000000000001</v>
      </c>
      <c r="P43" s="52">
        <v>6.15</v>
      </c>
      <c r="Q43" s="23">
        <f t="shared" si="0"/>
        <v>8.666876772770248</v>
      </c>
    </row>
    <row r="44" spans="1:17" ht="15.75" x14ac:dyDescent="0.25">
      <c r="A44" s="3" t="s">
        <v>43</v>
      </c>
      <c r="B44" s="3">
        <v>11</v>
      </c>
      <c r="C44" s="3">
        <v>68</v>
      </c>
      <c r="D44" s="3">
        <v>1</v>
      </c>
      <c r="E44" s="3">
        <v>3</v>
      </c>
      <c r="F44" s="3">
        <v>37</v>
      </c>
      <c r="G44" s="3">
        <v>8</v>
      </c>
      <c r="H44" s="3">
        <v>1</v>
      </c>
      <c r="I44" s="3">
        <v>6</v>
      </c>
      <c r="J44" s="3">
        <v>25</v>
      </c>
      <c r="K44" s="11">
        <f>J44+F44+E44+C44</f>
        <v>133</v>
      </c>
      <c r="L44" s="11">
        <f>B44+D44+G44+H44+I44</f>
        <v>27</v>
      </c>
      <c r="M44" s="21">
        <f>SUM(K44:L44)</f>
        <v>160</v>
      </c>
      <c r="N44" s="27" t="s">
        <v>119</v>
      </c>
      <c r="O44" s="3">
        <v>25.145</v>
      </c>
      <c r="P44" s="52">
        <v>5.29</v>
      </c>
      <c r="Q44" s="23">
        <f t="shared" si="0"/>
        <v>6.3630940544839927</v>
      </c>
    </row>
    <row r="45" spans="1:17" ht="15.75" x14ac:dyDescent="0.25">
      <c r="A45" s="3" t="s">
        <v>44</v>
      </c>
      <c r="B45" s="3"/>
      <c r="C45" s="3">
        <v>4</v>
      </c>
      <c r="D45" s="3"/>
      <c r="E45" s="3"/>
      <c r="F45" s="3">
        <v>3</v>
      </c>
      <c r="G45" s="3"/>
      <c r="H45" s="3"/>
      <c r="I45" s="3"/>
      <c r="J45" s="3"/>
      <c r="K45" s="11">
        <v>7</v>
      </c>
      <c r="L45" s="11">
        <v>0</v>
      </c>
      <c r="M45" s="21">
        <v>7</v>
      </c>
      <c r="N45" s="27" t="s">
        <v>80</v>
      </c>
      <c r="O45" s="3">
        <v>2.76</v>
      </c>
      <c r="P45" s="52">
        <v>2.54</v>
      </c>
      <c r="Q45" s="23">
        <f t="shared" si="0"/>
        <v>2.5362318840579712</v>
      </c>
    </row>
    <row r="46" spans="1:17" ht="15.75" x14ac:dyDescent="0.25">
      <c r="A46" s="3" t="s">
        <v>45</v>
      </c>
      <c r="B46" s="3"/>
      <c r="C46" s="3">
        <v>1</v>
      </c>
      <c r="D46" s="3"/>
      <c r="E46" s="3"/>
      <c r="F46" s="3"/>
      <c r="G46" s="3"/>
      <c r="H46" s="3"/>
      <c r="I46" s="3"/>
      <c r="J46" s="3">
        <v>1</v>
      </c>
      <c r="K46" s="11">
        <v>2</v>
      </c>
      <c r="L46" s="11">
        <v>0</v>
      </c>
      <c r="M46" s="21">
        <v>2</v>
      </c>
      <c r="N46" s="27">
        <v>0</v>
      </c>
      <c r="O46" s="3">
        <v>0.625</v>
      </c>
      <c r="P46" s="52">
        <v>3.2</v>
      </c>
      <c r="Q46" s="23">
        <f t="shared" si="0"/>
        <v>3.2</v>
      </c>
    </row>
    <row r="47" spans="1:17" ht="15.75" x14ac:dyDescent="0.25">
      <c r="A47" s="3" t="s">
        <v>100</v>
      </c>
      <c r="B47" s="3">
        <v>7</v>
      </c>
      <c r="C47" s="3">
        <v>19</v>
      </c>
      <c r="D47" s="3"/>
      <c r="E47" s="3">
        <v>2</v>
      </c>
      <c r="F47" s="3">
        <v>25</v>
      </c>
      <c r="G47" s="3">
        <v>6</v>
      </c>
      <c r="H47" s="3">
        <v>1</v>
      </c>
      <c r="I47" s="3"/>
      <c r="J47" s="3">
        <v>3</v>
      </c>
      <c r="K47" s="11">
        <f>J47+C47+E47+F47</f>
        <v>49</v>
      </c>
      <c r="L47" s="11">
        <f>B47+G47+H47</f>
        <v>14</v>
      </c>
      <c r="M47" s="21">
        <f>SUM(K47:L47)</f>
        <v>63</v>
      </c>
      <c r="N47" s="27" t="s">
        <v>74</v>
      </c>
      <c r="O47" s="3">
        <v>8</v>
      </c>
      <c r="P47" s="52">
        <v>6.13</v>
      </c>
      <c r="Q47" s="23">
        <f t="shared" si="0"/>
        <v>7.875</v>
      </c>
    </row>
    <row r="48" spans="1:17" ht="15.75" x14ac:dyDescent="0.25">
      <c r="A48" s="3" t="s">
        <v>46</v>
      </c>
      <c r="B48" s="3">
        <v>2</v>
      </c>
      <c r="C48" s="3">
        <v>10</v>
      </c>
      <c r="D48" s="3"/>
      <c r="E48" s="3">
        <v>1</v>
      </c>
      <c r="F48" s="3">
        <v>10</v>
      </c>
      <c r="G48" s="3">
        <v>3</v>
      </c>
      <c r="H48" s="3"/>
      <c r="I48" s="3"/>
      <c r="J48" s="3"/>
      <c r="K48" s="11">
        <f>C48+F48+E48</f>
        <v>21</v>
      </c>
      <c r="L48" s="11">
        <f>G48+B48</f>
        <v>5</v>
      </c>
      <c r="M48" s="21">
        <f>SUM(K48:L48)</f>
        <v>26</v>
      </c>
      <c r="N48" s="27" t="s">
        <v>93</v>
      </c>
      <c r="O48" s="3">
        <v>6.72</v>
      </c>
      <c r="P48" s="52">
        <v>3.13</v>
      </c>
      <c r="Q48" s="23">
        <f t="shared" si="0"/>
        <v>3.8690476190476191</v>
      </c>
    </row>
    <row r="49" spans="1:17" ht="15.75" x14ac:dyDescent="0.25">
      <c r="A49" s="3" t="s">
        <v>47</v>
      </c>
      <c r="B49" s="3">
        <v>2</v>
      </c>
      <c r="C49" s="3">
        <v>4</v>
      </c>
      <c r="D49" s="3"/>
      <c r="E49" s="3"/>
      <c r="F49" s="3">
        <v>2</v>
      </c>
      <c r="G49" s="3"/>
      <c r="H49" s="3"/>
      <c r="I49" s="3"/>
      <c r="J49" s="3"/>
      <c r="K49" s="11">
        <v>6</v>
      </c>
      <c r="L49" s="11">
        <v>2</v>
      </c>
      <c r="M49" s="21">
        <v>8</v>
      </c>
      <c r="N49" s="27" t="s">
        <v>80</v>
      </c>
      <c r="O49" s="3">
        <v>1.85</v>
      </c>
      <c r="P49" s="52">
        <v>3.24</v>
      </c>
      <c r="Q49" s="23">
        <f t="shared" si="0"/>
        <v>4.3243243243243237</v>
      </c>
    </row>
    <row r="50" spans="1:17" ht="15.75" x14ac:dyDescent="0.25">
      <c r="A50" s="3" t="s">
        <v>48</v>
      </c>
      <c r="B50" s="3"/>
      <c r="C50" s="3">
        <v>3</v>
      </c>
      <c r="D50" s="3"/>
      <c r="E50" s="3"/>
      <c r="F50" s="3">
        <v>6</v>
      </c>
      <c r="G50" s="3">
        <v>1</v>
      </c>
      <c r="H50" s="3">
        <v>1</v>
      </c>
      <c r="I50" s="3"/>
      <c r="J50" s="3"/>
      <c r="K50" s="11">
        <v>10</v>
      </c>
      <c r="L50" s="11">
        <v>1</v>
      </c>
      <c r="M50" s="21">
        <v>11</v>
      </c>
      <c r="N50" s="27" t="s">
        <v>89</v>
      </c>
      <c r="O50" s="3">
        <v>5.6859999999999999</v>
      </c>
      <c r="P50" s="52">
        <v>1.76</v>
      </c>
      <c r="Q50" s="23">
        <f t="shared" si="0"/>
        <v>1.9345761519521631</v>
      </c>
    </row>
    <row r="51" spans="1:17" ht="15.75" x14ac:dyDescent="0.25">
      <c r="A51" s="3" t="s">
        <v>49</v>
      </c>
      <c r="B51" s="3"/>
      <c r="C51" s="3">
        <v>2</v>
      </c>
      <c r="D51" s="3"/>
      <c r="E51" s="3"/>
      <c r="F51" s="3"/>
      <c r="G51" s="3"/>
      <c r="H51" s="3"/>
      <c r="I51" s="3"/>
      <c r="J51" s="3"/>
      <c r="K51" s="11">
        <v>2</v>
      </c>
      <c r="L51" s="11">
        <v>0</v>
      </c>
      <c r="M51" s="21">
        <v>2</v>
      </c>
      <c r="N51" s="27">
        <v>0</v>
      </c>
      <c r="O51" s="3">
        <v>0.56299999999999994</v>
      </c>
      <c r="P51" s="52">
        <v>3.55</v>
      </c>
      <c r="Q51" s="23">
        <f t="shared" si="0"/>
        <v>3.5523978685612794</v>
      </c>
    </row>
    <row r="53" spans="1:17" x14ac:dyDescent="0.25">
      <c r="A53" s="29" t="s">
        <v>140</v>
      </c>
      <c r="K53" s="29">
        <f>SUM(K2:K51)</f>
        <v>1076</v>
      </c>
      <c r="L53">
        <f>SUM(L2:L51)</f>
        <v>289</v>
      </c>
      <c r="M53">
        <f>SUM(M2:M51)</f>
        <v>1374</v>
      </c>
    </row>
  </sheetData>
  <pageMargins left="0.7" right="0.7" top="0.75" bottom="0.75" header="0.3" footer="0.3"/>
  <pageSetup orientation="landscape" r:id="rId1"/>
  <ignoredErrors>
    <ignoredError sqref="M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7" workbookViewId="0">
      <selection activeCell="K53" sqref="K53"/>
    </sheetView>
  </sheetViews>
  <sheetFormatPr defaultRowHeight="15" x14ac:dyDescent="0.25"/>
  <cols>
    <col min="1" max="1" width="20.140625" bestFit="1" customWidth="1"/>
    <col min="2" max="2" width="4.5703125" bestFit="1" customWidth="1"/>
    <col min="3" max="3" width="3.5703125" bestFit="1" customWidth="1"/>
    <col min="4" max="4" width="3.42578125" bestFit="1" customWidth="1"/>
    <col min="5" max="5" width="4.140625" bestFit="1" customWidth="1"/>
    <col min="6" max="6" width="3.42578125" bestFit="1" customWidth="1"/>
    <col min="7" max="7" width="3.140625" bestFit="1" customWidth="1"/>
    <col min="8" max="8" width="3.7109375" bestFit="1" customWidth="1"/>
    <col min="9" max="9" width="3.42578125" bestFit="1" customWidth="1"/>
    <col min="10" max="10" width="4.140625" bestFit="1" customWidth="1"/>
    <col min="11" max="11" width="12.7109375" bestFit="1" customWidth="1"/>
    <col min="12" max="12" width="10.85546875" bestFit="1" customWidth="1"/>
    <col min="13" max="13" width="20.42578125" bestFit="1" customWidth="1"/>
    <col min="14" max="14" width="20.28515625" bestFit="1" customWidth="1"/>
    <col min="15" max="15" width="15.42578125" style="55" customWidth="1"/>
    <col min="16" max="16" width="21.140625" style="14" customWidth="1"/>
  </cols>
  <sheetData>
    <row r="1" spans="1:16" ht="18.75" x14ac:dyDescent="0.3">
      <c r="A1" s="1" t="s">
        <v>60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50</v>
      </c>
      <c r="G1" s="12" t="s">
        <v>51</v>
      </c>
      <c r="H1" s="12" t="s">
        <v>56</v>
      </c>
      <c r="I1" s="12" t="s">
        <v>57</v>
      </c>
      <c r="J1" s="12" t="s">
        <v>58</v>
      </c>
      <c r="K1" s="13" t="s">
        <v>0</v>
      </c>
      <c r="L1" s="13" t="s">
        <v>1</v>
      </c>
      <c r="M1" s="19" t="s">
        <v>61</v>
      </c>
      <c r="N1" s="28" t="s">
        <v>64</v>
      </c>
      <c r="O1" s="54" t="s">
        <v>124</v>
      </c>
      <c r="P1" s="22" t="s">
        <v>125</v>
      </c>
    </row>
    <row r="2" spans="1:16" ht="15.75" x14ac:dyDescent="0.25">
      <c r="A2" s="3" t="s">
        <v>2</v>
      </c>
      <c r="B2" s="3" t="s">
        <v>62</v>
      </c>
      <c r="C2" s="3"/>
      <c r="D2" s="3" t="s">
        <v>63</v>
      </c>
      <c r="E2" s="3"/>
      <c r="F2" s="3" t="s">
        <v>63</v>
      </c>
      <c r="G2" s="3"/>
      <c r="H2" s="3" t="s">
        <v>63</v>
      </c>
      <c r="I2" s="3"/>
      <c r="J2" s="3" t="s">
        <v>63</v>
      </c>
      <c r="K2" s="11" t="s">
        <v>63</v>
      </c>
      <c r="L2" s="11" t="s">
        <v>63</v>
      </c>
      <c r="M2" s="21" t="s">
        <v>62</v>
      </c>
      <c r="N2" s="27"/>
    </row>
    <row r="3" spans="1:16" ht="15.75" x14ac:dyDescent="0.25">
      <c r="A3" s="7" t="s">
        <v>3</v>
      </c>
      <c r="B3" s="3"/>
      <c r="C3" s="3"/>
      <c r="D3" s="3"/>
      <c r="E3" s="3"/>
      <c r="F3" s="3">
        <v>3</v>
      </c>
      <c r="G3" s="3">
        <v>1</v>
      </c>
      <c r="H3" s="3"/>
      <c r="I3" s="3"/>
      <c r="J3" s="3"/>
      <c r="K3" s="11">
        <v>3</v>
      </c>
      <c r="L3" s="11">
        <v>1</v>
      </c>
      <c r="M3" s="21">
        <v>4</v>
      </c>
      <c r="N3" s="27" t="s">
        <v>70</v>
      </c>
    </row>
    <row r="4" spans="1:16" ht="15.75" x14ac:dyDescent="0.25">
      <c r="A4" s="3" t="s">
        <v>4</v>
      </c>
      <c r="B4" s="3">
        <v>2</v>
      </c>
      <c r="C4" s="3">
        <v>21</v>
      </c>
      <c r="D4" s="3"/>
      <c r="E4" s="3">
        <v>1</v>
      </c>
      <c r="F4" s="3">
        <v>8</v>
      </c>
      <c r="G4" s="3">
        <v>3</v>
      </c>
      <c r="H4" s="3">
        <v>1</v>
      </c>
      <c r="I4" s="3"/>
      <c r="J4" s="3">
        <v>1</v>
      </c>
      <c r="K4" s="11">
        <v>31</v>
      </c>
      <c r="L4" s="11">
        <v>6</v>
      </c>
      <c r="M4" s="21">
        <v>37</v>
      </c>
      <c r="N4" s="27" t="s">
        <v>120</v>
      </c>
    </row>
    <row r="5" spans="1:16" ht="15.75" x14ac:dyDescent="0.25">
      <c r="A5" s="3" t="s">
        <v>5</v>
      </c>
      <c r="B5" s="3">
        <v>2</v>
      </c>
      <c r="C5" s="3">
        <v>4</v>
      </c>
      <c r="D5" s="3"/>
      <c r="E5" s="3"/>
      <c r="F5" s="3">
        <v>4</v>
      </c>
      <c r="G5" s="3">
        <v>5</v>
      </c>
      <c r="H5" s="3"/>
      <c r="I5" s="3">
        <v>1</v>
      </c>
      <c r="J5" s="3"/>
      <c r="K5" s="11">
        <v>8</v>
      </c>
      <c r="L5" s="11">
        <v>8</v>
      </c>
      <c r="M5" s="21">
        <v>16</v>
      </c>
      <c r="N5" s="27">
        <v>0</v>
      </c>
    </row>
    <row r="6" spans="1:16" ht="15.75" x14ac:dyDescent="0.25">
      <c r="A6" s="3" t="s">
        <v>6</v>
      </c>
      <c r="B6" s="3">
        <v>6</v>
      </c>
      <c r="C6" s="3">
        <v>59</v>
      </c>
      <c r="D6" s="3">
        <v>4</v>
      </c>
      <c r="E6" s="3">
        <v>6</v>
      </c>
      <c r="F6" s="3">
        <v>67</v>
      </c>
      <c r="G6" s="3">
        <v>19</v>
      </c>
      <c r="H6" s="3">
        <v>1</v>
      </c>
      <c r="I6" s="3">
        <v>2</v>
      </c>
      <c r="J6" s="3">
        <v>5</v>
      </c>
      <c r="K6" s="11">
        <f>J6+F6+E6+C6</f>
        <v>137</v>
      </c>
      <c r="L6" s="11">
        <f>I6+H6+G6+D6+B6</f>
        <v>32</v>
      </c>
      <c r="M6" s="21">
        <v>169</v>
      </c>
      <c r="N6" s="27" t="s">
        <v>121</v>
      </c>
    </row>
    <row r="7" spans="1:16" ht="15.75" x14ac:dyDescent="0.25">
      <c r="A7" s="3" t="s">
        <v>7</v>
      </c>
      <c r="B7" s="3">
        <v>3</v>
      </c>
      <c r="C7" s="3">
        <v>5</v>
      </c>
      <c r="D7" s="3">
        <v>1</v>
      </c>
      <c r="E7" s="3">
        <v>2</v>
      </c>
      <c r="F7" s="3">
        <v>9</v>
      </c>
      <c r="G7" s="3">
        <v>2</v>
      </c>
      <c r="H7" s="3"/>
      <c r="I7" s="3"/>
      <c r="J7" s="3">
        <v>2</v>
      </c>
      <c r="K7" s="11">
        <v>18</v>
      </c>
      <c r="L7" s="11">
        <v>6</v>
      </c>
      <c r="M7" s="21">
        <v>24</v>
      </c>
      <c r="N7" s="27" t="s">
        <v>70</v>
      </c>
    </row>
    <row r="8" spans="1:16" ht="15.75" x14ac:dyDescent="0.25">
      <c r="A8" s="3" t="s">
        <v>8</v>
      </c>
      <c r="B8" s="3"/>
      <c r="C8" s="3">
        <v>5</v>
      </c>
      <c r="D8" s="3"/>
      <c r="E8" s="3">
        <v>1</v>
      </c>
      <c r="F8" s="3">
        <v>5</v>
      </c>
      <c r="G8" s="3"/>
      <c r="H8" s="3"/>
      <c r="I8" s="3"/>
      <c r="J8" s="3"/>
      <c r="K8" s="11">
        <v>11</v>
      </c>
      <c r="L8" s="11">
        <v>0</v>
      </c>
      <c r="M8" s="21">
        <v>11</v>
      </c>
      <c r="N8" s="27" t="s">
        <v>102</v>
      </c>
    </row>
    <row r="9" spans="1:16" ht="15.75" x14ac:dyDescent="0.25">
      <c r="A9" s="3" t="s">
        <v>9</v>
      </c>
      <c r="B9" s="3">
        <v>1</v>
      </c>
      <c r="C9" s="3">
        <v>3</v>
      </c>
      <c r="D9" s="3"/>
      <c r="E9" s="3"/>
      <c r="F9" s="3">
        <v>1</v>
      </c>
      <c r="G9" s="3"/>
      <c r="H9" s="3"/>
      <c r="I9" s="3"/>
      <c r="J9" s="3"/>
      <c r="K9" s="11">
        <v>4</v>
      </c>
      <c r="L9" s="11">
        <v>1</v>
      </c>
      <c r="M9" s="21">
        <v>5</v>
      </c>
      <c r="N9" s="27" t="s">
        <v>110</v>
      </c>
    </row>
    <row r="10" spans="1:16" ht="15.75" x14ac:dyDescent="0.25">
      <c r="A10" s="3" t="s">
        <v>10</v>
      </c>
      <c r="B10" s="3" t="s">
        <v>62</v>
      </c>
      <c r="C10" s="3"/>
      <c r="D10" s="3" t="s">
        <v>63</v>
      </c>
      <c r="E10" s="3"/>
      <c r="F10" s="3" t="s">
        <v>63</v>
      </c>
      <c r="G10" s="3"/>
      <c r="H10" s="3" t="s">
        <v>63</v>
      </c>
      <c r="I10" s="3"/>
      <c r="J10" s="3" t="s">
        <v>63</v>
      </c>
      <c r="K10" s="11" t="s">
        <v>63</v>
      </c>
      <c r="L10" s="11" t="s">
        <v>63</v>
      </c>
      <c r="M10" s="21" t="s">
        <v>62</v>
      </c>
      <c r="N10" s="27"/>
    </row>
    <row r="11" spans="1:16" ht="15.75" x14ac:dyDescent="0.25">
      <c r="A11" s="3" t="s">
        <v>11</v>
      </c>
      <c r="B11" s="3">
        <v>5</v>
      </c>
      <c r="C11" s="3">
        <v>22</v>
      </c>
      <c r="D11" s="3"/>
      <c r="E11" s="3">
        <v>4</v>
      </c>
      <c r="F11" s="3">
        <v>15</v>
      </c>
      <c r="G11" s="3">
        <v>11</v>
      </c>
      <c r="H11" s="3"/>
      <c r="I11" s="3"/>
      <c r="J11" s="3">
        <v>2</v>
      </c>
      <c r="K11" s="11">
        <f>J11+F11+E11+C11</f>
        <v>43</v>
      </c>
      <c r="L11" s="11">
        <f>B11+G11</f>
        <v>16</v>
      </c>
      <c r="M11" s="21">
        <v>59</v>
      </c>
      <c r="N11" s="27" t="s">
        <v>67</v>
      </c>
    </row>
    <row r="12" spans="1:16" ht="15.75" x14ac:dyDescent="0.25">
      <c r="A12" s="7" t="s">
        <v>12</v>
      </c>
      <c r="B12" s="3"/>
      <c r="C12" s="3"/>
      <c r="D12" s="3"/>
      <c r="E12" s="3"/>
      <c r="F12" s="3">
        <v>2</v>
      </c>
      <c r="G12" s="3"/>
      <c r="H12" s="3"/>
      <c r="I12" s="3"/>
      <c r="J12" s="3"/>
      <c r="K12" s="11">
        <v>2</v>
      </c>
      <c r="L12" s="11">
        <v>0</v>
      </c>
      <c r="M12" s="21">
        <v>2</v>
      </c>
      <c r="N12" s="27">
        <v>0</v>
      </c>
    </row>
    <row r="13" spans="1:16" ht="15.75" x14ac:dyDescent="0.25">
      <c r="A13" s="3" t="s">
        <v>13</v>
      </c>
      <c r="B13" s="3"/>
      <c r="C13" s="3">
        <v>1</v>
      </c>
      <c r="D13" s="3"/>
      <c r="E13" s="3">
        <v>2</v>
      </c>
      <c r="F13" s="3">
        <v>3</v>
      </c>
      <c r="G13" s="3"/>
      <c r="H13" s="3"/>
      <c r="I13" s="3"/>
      <c r="J13" s="3">
        <v>1</v>
      </c>
      <c r="K13" s="11">
        <v>7</v>
      </c>
      <c r="L13" s="11">
        <v>0</v>
      </c>
      <c r="M13" s="21">
        <v>7</v>
      </c>
      <c r="N13" s="27">
        <v>0</v>
      </c>
    </row>
    <row r="14" spans="1:16" ht="15.75" x14ac:dyDescent="0.25">
      <c r="A14" s="3" t="s">
        <v>14</v>
      </c>
      <c r="B14" s="3"/>
      <c r="C14" s="3"/>
      <c r="D14" s="3"/>
      <c r="E14" s="3">
        <v>2</v>
      </c>
      <c r="F14" s="3">
        <v>4</v>
      </c>
      <c r="G14" s="3">
        <v>5</v>
      </c>
      <c r="H14" s="3"/>
      <c r="I14" s="3"/>
      <c r="J14" s="3"/>
      <c r="K14" s="11">
        <v>6</v>
      </c>
      <c r="L14" s="11">
        <v>5</v>
      </c>
      <c r="M14" s="21">
        <v>11</v>
      </c>
      <c r="N14" s="27" t="s">
        <v>68</v>
      </c>
    </row>
    <row r="15" spans="1:16" ht="15.75" x14ac:dyDescent="0.25">
      <c r="A15" s="3" t="s">
        <v>15</v>
      </c>
      <c r="B15" s="3"/>
      <c r="C15" s="3">
        <v>13</v>
      </c>
      <c r="D15" s="3">
        <v>1</v>
      </c>
      <c r="E15" s="3"/>
      <c r="F15" s="3">
        <v>9</v>
      </c>
      <c r="G15" s="3">
        <v>2</v>
      </c>
      <c r="H15" s="3">
        <v>1</v>
      </c>
      <c r="I15" s="3">
        <v>1</v>
      </c>
      <c r="J15" s="3">
        <v>2</v>
      </c>
      <c r="K15" s="11">
        <f>C15+F15+J15</f>
        <v>24</v>
      </c>
      <c r="L15" s="11">
        <f>I15+H15+G15+D15</f>
        <v>5</v>
      </c>
      <c r="M15" s="21">
        <v>29</v>
      </c>
      <c r="N15" s="27" t="s">
        <v>122</v>
      </c>
    </row>
    <row r="16" spans="1:16" ht="15.75" x14ac:dyDescent="0.25">
      <c r="A16" s="3" t="s">
        <v>16</v>
      </c>
      <c r="B16" s="3"/>
      <c r="C16" s="3">
        <v>4</v>
      </c>
      <c r="D16" s="3"/>
      <c r="E16" s="3">
        <v>1</v>
      </c>
      <c r="F16" s="3">
        <v>2</v>
      </c>
      <c r="G16" s="3"/>
      <c r="H16" s="3"/>
      <c r="I16" s="3"/>
      <c r="J16" s="3">
        <v>1</v>
      </c>
      <c r="K16" s="11">
        <v>8</v>
      </c>
      <c r="L16" s="11">
        <v>0</v>
      </c>
      <c r="M16" s="21">
        <v>8</v>
      </c>
      <c r="N16" s="27" t="s">
        <v>93</v>
      </c>
    </row>
    <row r="17" spans="1:14" ht="15.75" x14ac:dyDescent="0.25">
      <c r="A17" s="3" t="s">
        <v>17</v>
      </c>
      <c r="B17" s="3">
        <v>2</v>
      </c>
      <c r="C17" s="3">
        <v>6</v>
      </c>
      <c r="D17" s="3"/>
      <c r="E17" s="3"/>
      <c r="F17" s="3">
        <v>7</v>
      </c>
      <c r="G17" s="3">
        <v>2</v>
      </c>
      <c r="H17" s="3"/>
      <c r="I17" s="3"/>
      <c r="J17" s="3">
        <v>1</v>
      </c>
      <c r="K17" s="11">
        <f>C17+F17+J17</f>
        <v>14</v>
      </c>
      <c r="L17" s="11">
        <f>B17+G17</f>
        <v>4</v>
      </c>
      <c r="M17" s="21">
        <v>18</v>
      </c>
      <c r="N17" s="27" t="s">
        <v>70</v>
      </c>
    </row>
    <row r="18" spans="1:14" ht="15.75" x14ac:dyDescent="0.25">
      <c r="A18" s="3" t="s">
        <v>18</v>
      </c>
      <c r="B18" s="3">
        <v>3</v>
      </c>
      <c r="C18" s="3">
        <v>8</v>
      </c>
      <c r="D18" s="3"/>
      <c r="E18" s="3"/>
      <c r="F18" s="3">
        <v>3</v>
      </c>
      <c r="G18" s="3">
        <v>1</v>
      </c>
      <c r="H18" s="3"/>
      <c r="I18" s="3"/>
      <c r="J18" s="3"/>
      <c r="K18" s="11">
        <v>11</v>
      </c>
      <c r="L18" s="11">
        <v>4</v>
      </c>
      <c r="M18" s="21">
        <v>15</v>
      </c>
      <c r="N18" s="27" t="s">
        <v>116</v>
      </c>
    </row>
    <row r="19" spans="1:14" ht="15.75" x14ac:dyDescent="0.25">
      <c r="A19" s="3" t="s">
        <v>19</v>
      </c>
      <c r="B19" s="3">
        <v>2</v>
      </c>
      <c r="C19" s="3">
        <v>11</v>
      </c>
      <c r="D19" s="3"/>
      <c r="E19" s="3"/>
      <c r="F19" s="3">
        <v>8</v>
      </c>
      <c r="G19" s="3">
        <v>8</v>
      </c>
      <c r="H19" s="3">
        <v>1</v>
      </c>
      <c r="I19" s="3">
        <v>1</v>
      </c>
      <c r="J19" s="3"/>
      <c r="K19" s="11">
        <f>H19+F19+C19</f>
        <v>20</v>
      </c>
      <c r="L19" s="11">
        <f>B19+G19+I19</f>
        <v>11</v>
      </c>
      <c r="M19" s="21">
        <v>31</v>
      </c>
      <c r="N19" s="27" t="s">
        <v>70</v>
      </c>
    </row>
    <row r="20" spans="1:14" ht="15.75" x14ac:dyDescent="0.25">
      <c r="A20" s="3" t="s">
        <v>20</v>
      </c>
      <c r="B20" s="3">
        <v>1</v>
      </c>
      <c r="C20" s="3">
        <v>3</v>
      </c>
      <c r="D20" s="3"/>
      <c r="E20" s="3"/>
      <c r="F20" s="3"/>
      <c r="G20" s="3">
        <v>1</v>
      </c>
      <c r="H20" s="3">
        <v>1</v>
      </c>
      <c r="I20" s="3"/>
      <c r="J20" s="3"/>
      <c r="K20" s="11">
        <v>3</v>
      </c>
      <c r="L20" s="11">
        <v>3</v>
      </c>
      <c r="M20" s="21">
        <v>6</v>
      </c>
      <c r="N20" s="27" t="s">
        <v>93</v>
      </c>
    </row>
    <row r="21" spans="1:14" ht="15.75" x14ac:dyDescent="0.25">
      <c r="A21" s="3" t="s">
        <v>21</v>
      </c>
      <c r="B21" s="3"/>
      <c r="C21" s="3">
        <v>9</v>
      </c>
      <c r="D21" s="3"/>
      <c r="E21" s="3"/>
      <c r="F21" s="3">
        <v>12</v>
      </c>
      <c r="G21" s="3">
        <v>4</v>
      </c>
      <c r="H21" s="3"/>
      <c r="I21" s="3"/>
      <c r="J21" s="3">
        <v>1</v>
      </c>
      <c r="K21" s="11">
        <f>J21+F21+C21</f>
        <v>22</v>
      </c>
      <c r="L21" s="11">
        <v>4</v>
      </c>
      <c r="M21" s="21">
        <v>26</v>
      </c>
      <c r="N21" s="27" t="s">
        <v>70</v>
      </c>
    </row>
    <row r="22" spans="1:14" ht="15.75" x14ac:dyDescent="0.25">
      <c r="A22" s="3" t="s">
        <v>59</v>
      </c>
      <c r="B22" s="3">
        <v>1</v>
      </c>
      <c r="C22" s="3">
        <v>6</v>
      </c>
      <c r="D22" s="3"/>
      <c r="E22" s="3"/>
      <c r="F22" s="3">
        <v>4</v>
      </c>
      <c r="G22" s="3">
        <v>2</v>
      </c>
      <c r="H22" s="3">
        <v>1</v>
      </c>
      <c r="I22" s="3"/>
      <c r="J22" s="3"/>
      <c r="K22" s="11">
        <v>10</v>
      </c>
      <c r="L22" s="11">
        <v>4</v>
      </c>
      <c r="M22" s="21">
        <v>14</v>
      </c>
      <c r="N22" s="27" t="s">
        <v>68</v>
      </c>
    </row>
    <row r="23" spans="1:14" ht="15.75" x14ac:dyDescent="0.25">
      <c r="A23" s="3" t="s">
        <v>22</v>
      </c>
      <c r="B23" s="3">
        <v>5</v>
      </c>
      <c r="C23" s="3">
        <v>12</v>
      </c>
      <c r="D23" s="3"/>
      <c r="E23" s="3">
        <v>3</v>
      </c>
      <c r="F23" s="3">
        <v>9</v>
      </c>
      <c r="G23" s="3">
        <v>6</v>
      </c>
      <c r="H23" s="3">
        <v>1</v>
      </c>
      <c r="I23" s="3">
        <v>2</v>
      </c>
      <c r="J23" s="3">
        <v>1</v>
      </c>
      <c r="K23" s="11">
        <f>J23+F23+E23+C23</f>
        <v>25</v>
      </c>
      <c r="L23" s="11">
        <f>I23+H23+G23+B23</f>
        <v>14</v>
      </c>
      <c r="M23" s="21">
        <v>39</v>
      </c>
      <c r="N23" s="27" t="s">
        <v>123</v>
      </c>
    </row>
    <row r="24" spans="1:14" ht="15.75" x14ac:dyDescent="0.25">
      <c r="A24" s="3" t="s">
        <v>23</v>
      </c>
      <c r="B24" s="3">
        <v>1</v>
      </c>
      <c r="C24" s="3">
        <v>6</v>
      </c>
      <c r="D24" s="3"/>
      <c r="E24" s="3">
        <v>1</v>
      </c>
      <c r="F24" s="3">
        <v>10</v>
      </c>
      <c r="G24" s="3"/>
      <c r="H24" s="3">
        <v>2</v>
      </c>
      <c r="I24" s="3"/>
      <c r="J24" s="3"/>
      <c r="K24" s="11">
        <f>F24+C24+E24</f>
        <v>17</v>
      </c>
      <c r="L24" s="11">
        <v>3</v>
      </c>
      <c r="M24" s="21">
        <v>20</v>
      </c>
      <c r="N24" s="27" t="s">
        <v>92</v>
      </c>
    </row>
    <row r="25" spans="1:14" ht="15.75" x14ac:dyDescent="0.25">
      <c r="A25" s="3" t="s">
        <v>24</v>
      </c>
      <c r="B25" s="3"/>
      <c r="C25" s="3">
        <v>5</v>
      </c>
      <c r="D25" s="3"/>
      <c r="E25" s="3">
        <v>1</v>
      </c>
      <c r="F25" s="3">
        <v>7</v>
      </c>
      <c r="G25" s="3">
        <v>9</v>
      </c>
      <c r="H25" s="3"/>
      <c r="I25" s="3"/>
      <c r="J25" s="3"/>
      <c r="K25" s="11">
        <f>C25+E25+F25</f>
        <v>13</v>
      </c>
      <c r="L25" s="11">
        <v>9</v>
      </c>
      <c r="M25" s="21">
        <f>SUM(K25:L25)</f>
        <v>22</v>
      </c>
      <c r="N25" s="27" t="s">
        <v>70</v>
      </c>
    </row>
    <row r="26" spans="1:14" ht="15.75" x14ac:dyDescent="0.25">
      <c r="A26" s="3" t="s">
        <v>25</v>
      </c>
      <c r="B26" s="3">
        <v>2</v>
      </c>
      <c r="C26" s="3">
        <v>14</v>
      </c>
      <c r="D26" s="3"/>
      <c r="E26" s="3">
        <v>1</v>
      </c>
      <c r="F26" s="3">
        <v>11</v>
      </c>
      <c r="G26" s="3">
        <v>7</v>
      </c>
      <c r="H26" s="3"/>
      <c r="I26" s="3"/>
      <c r="J26" s="3">
        <v>1</v>
      </c>
      <c r="K26" s="11">
        <f>J26+F26+E26+C26</f>
        <v>27</v>
      </c>
      <c r="L26" s="11">
        <f>B26+G26</f>
        <v>9</v>
      </c>
      <c r="M26" s="21">
        <v>36</v>
      </c>
      <c r="N26" s="27" t="s">
        <v>107</v>
      </c>
    </row>
    <row r="27" spans="1:14" ht="15.75" x14ac:dyDescent="0.25">
      <c r="A27" s="3" t="s">
        <v>26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11">
        <v>0</v>
      </c>
      <c r="L27" s="11">
        <v>1</v>
      </c>
      <c r="M27" s="21">
        <v>1</v>
      </c>
      <c r="N27" s="27">
        <v>0</v>
      </c>
    </row>
    <row r="28" spans="1:14" ht="15.75" x14ac:dyDescent="0.25">
      <c r="A28" s="3" t="s">
        <v>27</v>
      </c>
      <c r="B28" s="3">
        <v>2</v>
      </c>
      <c r="C28" s="3">
        <v>5</v>
      </c>
      <c r="D28" s="3"/>
      <c r="E28" s="3"/>
      <c r="F28" s="3">
        <v>5</v>
      </c>
      <c r="G28" s="3"/>
      <c r="H28" s="3"/>
      <c r="I28" s="3"/>
      <c r="J28" s="3"/>
      <c r="K28" s="11">
        <v>10</v>
      </c>
      <c r="L28" s="11">
        <v>2</v>
      </c>
      <c r="M28" s="21">
        <v>12</v>
      </c>
      <c r="N28" s="27">
        <v>0</v>
      </c>
    </row>
    <row r="29" spans="1:14" ht="15.75" x14ac:dyDescent="0.25">
      <c r="A29" s="3" t="s">
        <v>28</v>
      </c>
      <c r="B29" s="3">
        <v>3</v>
      </c>
      <c r="C29" s="3">
        <v>6</v>
      </c>
      <c r="D29" s="3"/>
      <c r="E29" s="3">
        <v>2</v>
      </c>
      <c r="F29" s="3">
        <v>9</v>
      </c>
      <c r="G29" s="3">
        <v>3</v>
      </c>
      <c r="H29" s="3">
        <v>1</v>
      </c>
      <c r="I29" s="3"/>
      <c r="J29" s="3"/>
      <c r="K29" s="11">
        <v>17</v>
      </c>
      <c r="L29" s="11">
        <v>7</v>
      </c>
      <c r="M29" s="21">
        <f>SUM(K29:L29)</f>
        <v>24</v>
      </c>
      <c r="N29" s="27" t="s">
        <v>70</v>
      </c>
    </row>
    <row r="30" spans="1:14" ht="15.75" x14ac:dyDescent="0.25">
      <c r="A30" s="3" t="s">
        <v>29</v>
      </c>
      <c r="B30" s="3">
        <v>1</v>
      </c>
      <c r="C30" s="3"/>
      <c r="D30" s="3"/>
      <c r="E30" s="3"/>
      <c r="F30" s="3">
        <v>1</v>
      </c>
      <c r="G30" s="3"/>
      <c r="H30" s="3"/>
      <c r="I30" s="3"/>
      <c r="J30" s="3"/>
      <c r="K30" s="11">
        <v>2</v>
      </c>
      <c r="L30" s="11">
        <v>0</v>
      </c>
      <c r="M30" s="21">
        <v>2</v>
      </c>
      <c r="N30" s="27">
        <v>0</v>
      </c>
    </row>
    <row r="31" spans="1:14" ht="15.75" x14ac:dyDescent="0.25">
      <c r="A31" s="3" t="s">
        <v>30</v>
      </c>
      <c r="B31" s="3">
        <v>1</v>
      </c>
      <c r="C31" s="3">
        <v>12</v>
      </c>
      <c r="D31" s="3"/>
      <c r="E31" s="3"/>
      <c r="F31" s="3">
        <v>13</v>
      </c>
      <c r="G31" s="3"/>
      <c r="H31" s="3">
        <v>1</v>
      </c>
      <c r="I31" s="3"/>
      <c r="J31" s="3"/>
      <c r="K31" s="11">
        <f>F31+C31</f>
        <v>25</v>
      </c>
      <c r="L31" s="11">
        <v>2</v>
      </c>
      <c r="M31" s="21">
        <v>27</v>
      </c>
      <c r="N31" s="27" t="s">
        <v>90</v>
      </c>
    </row>
    <row r="32" spans="1:14" ht="15.75" x14ac:dyDescent="0.25">
      <c r="A32" s="3" t="s">
        <v>31</v>
      </c>
      <c r="B32" s="3">
        <v>1</v>
      </c>
      <c r="C32" s="3">
        <v>3</v>
      </c>
      <c r="D32" s="3"/>
      <c r="E32" s="3">
        <v>2</v>
      </c>
      <c r="F32" s="3">
        <v>4</v>
      </c>
      <c r="G32" s="3">
        <v>3</v>
      </c>
      <c r="H32" s="3">
        <v>1</v>
      </c>
      <c r="I32" s="3"/>
      <c r="J32" s="3"/>
      <c r="K32" s="11">
        <f>C32+E32+F32+H32</f>
        <v>10</v>
      </c>
      <c r="L32" s="11">
        <f>B32+G32</f>
        <v>4</v>
      </c>
      <c r="M32" s="21">
        <v>14</v>
      </c>
      <c r="N32" s="27" t="s">
        <v>85</v>
      </c>
    </row>
    <row r="33" spans="1:14" ht="15.75" x14ac:dyDescent="0.25">
      <c r="A33" s="3" t="s">
        <v>32</v>
      </c>
      <c r="B33" s="3">
        <v>1</v>
      </c>
      <c r="C33" s="3">
        <v>20</v>
      </c>
      <c r="D33" s="3"/>
      <c r="E33" s="3">
        <v>2</v>
      </c>
      <c r="F33" s="3">
        <v>41</v>
      </c>
      <c r="G33" s="3">
        <v>14</v>
      </c>
      <c r="H33" s="3">
        <v>6</v>
      </c>
      <c r="I33" s="3"/>
      <c r="J33" s="3"/>
      <c r="K33" s="11">
        <f>C33+E33+F33</f>
        <v>63</v>
      </c>
      <c r="L33" s="11">
        <f>H33+G33+B33</f>
        <v>21</v>
      </c>
      <c r="M33" s="21">
        <v>84</v>
      </c>
      <c r="N33" s="27" t="s">
        <v>126</v>
      </c>
    </row>
    <row r="34" spans="1:14" ht="15.75" x14ac:dyDescent="0.25">
      <c r="A34" s="3" t="s">
        <v>33</v>
      </c>
      <c r="B34" s="3">
        <v>1</v>
      </c>
      <c r="C34" s="3">
        <v>18</v>
      </c>
      <c r="D34" s="3"/>
      <c r="E34" s="3">
        <v>2</v>
      </c>
      <c r="F34" s="3">
        <v>17</v>
      </c>
      <c r="G34" s="3">
        <v>10</v>
      </c>
      <c r="H34" s="3"/>
      <c r="I34" s="3"/>
      <c r="J34" s="3"/>
      <c r="K34" s="11">
        <f>F34+E34+C34</f>
        <v>37</v>
      </c>
      <c r="L34" s="11">
        <f>G34+B34</f>
        <v>11</v>
      </c>
      <c r="M34" s="21">
        <f>SUM(K34:L34)</f>
        <v>48</v>
      </c>
      <c r="N34" s="27" t="s">
        <v>127</v>
      </c>
    </row>
    <row r="35" spans="1:14" ht="15.75" x14ac:dyDescent="0.25">
      <c r="A35" s="3" t="s">
        <v>34</v>
      </c>
      <c r="B35" s="3"/>
      <c r="C35" s="3">
        <v>1</v>
      </c>
      <c r="D35" s="3"/>
      <c r="E35" s="3"/>
      <c r="F35" s="3">
        <v>1</v>
      </c>
      <c r="G35" s="3"/>
      <c r="H35" s="3"/>
      <c r="I35" s="3"/>
      <c r="J35" s="3"/>
      <c r="K35" s="11">
        <v>2</v>
      </c>
      <c r="L35" s="11">
        <v>0</v>
      </c>
      <c r="M35" s="21">
        <v>2</v>
      </c>
      <c r="N35" s="27" t="s">
        <v>81</v>
      </c>
    </row>
    <row r="36" spans="1:14" ht="15.75" x14ac:dyDescent="0.25">
      <c r="A36" s="3" t="s">
        <v>35</v>
      </c>
      <c r="B36" s="3">
        <v>3</v>
      </c>
      <c r="C36" s="3">
        <v>15</v>
      </c>
      <c r="D36" s="3">
        <v>1</v>
      </c>
      <c r="E36" s="3"/>
      <c r="F36" s="3">
        <v>8</v>
      </c>
      <c r="G36" s="3">
        <v>9</v>
      </c>
      <c r="H36" s="3"/>
      <c r="I36" s="3"/>
      <c r="J36" s="3">
        <v>3</v>
      </c>
      <c r="K36" s="11">
        <f>J36+F36+C36</f>
        <v>26</v>
      </c>
      <c r="L36" s="11">
        <f>B36+D36+G36</f>
        <v>13</v>
      </c>
      <c r="M36" s="21">
        <f>SUM(K36:L36)</f>
        <v>39</v>
      </c>
      <c r="N36" s="27" t="s">
        <v>96</v>
      </c>
    </row>
    <row r="37" spans="1:14" ht="15.75" x14ac:dyDescent="0.25">
      <c r="A37" s="3" t="s">
        <v>36</v>
      </c>
      <c r="B37" s="3">
        <v>5</v>
      </c>
      <c r="C37" s="3">
        <v>10</v>
      </c>
      <c r="D37" s="3">
        <v>1</v>
      </c>
      <c r="E37" s="3">
        <v>2</v>
      </c>
      <c r="F37" s="3">
        <v>9</v>
      </c>
      <c r="G37" s="3">
        <v>2</v>
      </c>
      <c r="H37" s="3">
        <v>2</v>
      </c>
      <c r="I37" s="3">
        <v>1</v>
      </c>
      <c r="J37" s="3">
        <v>1</v>
      </c>
      <c r="K37" s="11">
        <f>J37+1+F37+E37+C37</f>
        <v>23</v>
      </c>
      <c r="L37" s="11">
        <f>I37+1+G37+D37+B37</f>
        <v>10</v>
      </c>
      <c r="M37" s="21">
        <v>33</v>
      </c>
      <c r="N37" s="27" t="s">
        <v>84</v>
      </c>
    </row>
    <row r="38" spans="1:14" ht="15.75" x14ac:dyDescent="0.25">
      <c r="A38" s="3" t="s">
        <v>37</v>
      </c>
      <c r="B38" s="3"/>
      <c r="C38" s="3">
        <v>9</v>
      </c>
      <c r="D38" s="3">
        <v>1</v>
      </c>
      <c r="E38" s="3"/>
      <c r="F38" s="3">
        <v>8</v>
      </c>
      <c r="G38" s="3"/>
      <c r="H38" s="3"/>
      <c r="I38" s="3"/>
      <c r="J38" s="3"/>
      <c r="K38" s="11">
        <v>17</v>
      </c>
      <c r="L38" s="11">
        <v>1</v>
      </c>
      <c r="M38" s="21">
        <v>18</v>
      </c>
      <c r="N38" s="27" t="s">
        <v>70</v>
      </c>
    </row>
    <row r="39" spans="1:14" ht="15.75" x14ac:dyDescent="0.25">
      <c r="A39" s="3" t="s">
        <v>38</v>
      </c>
      <c r="B39" s="3">
        <v>3</v>
      </c>
      <c r="C39" s="3">
        <v>17</v>
      </c>
      <c r="D39" s="3"/>
      <c r="E39" s="3"/>
      <c r="F39" s="3">
        <v>24</v>
      </c>
      <c r="G39" s="3">
        <v>11</v>
      </c>
      <c r="H39" s="3">
        <v>2</v>
      </c>
      <c r="I39" s="3">
        <v>1</v>
      </c>
      <c r="J39" s="3"/>
      <c r="K39" s="11">
        <f>F39+C39+H39</f>
        <v>43</v>
      </c>
      <c r="L39" s="11">
        <f>I39+G39+B39</f>
        <v>15</v>
      </c>
      <c r="M39" s="21">
        <f>SUM(K39:L39)</f>
        <v>58</v>
      </c>
      <c r="N39" s="27" t="s">
        <v>98</v>
      </c>
    </row>
    <row r="40" spans="1:14" ht="15.75" x14ac:dyDescent="0.25">
      <c r="A40" s="3" t="s">
        <v>39</v>
      </c>
      <c r="B40" s="3"/>
      <c r="C40" s="3">
        <v>2</v>
      </c>
      <c r="D40" s="3"/>
      <c r="E40" s="3"/>
      <c r="F40" s="3">
        <v>1</v>
      </c>
      <c r="G40" s="3"/>
      <c r="H40" s="3"/>
      <c r="I40" s="3"/>
      <c r="J40" s="3"/>
      <c r="K40" s="11">
        <v>3</v>
      </c>
      <c r="L40" s="11">
        <v>0</v>
      </c>
      <c r="M40" s="21">
        <v>3</v>
      </c>
      <c r="N40" s="27">
        <v>0</v>
      </c>
    </row>
    <row r="41" spans="1:14" ht="15.75" x14ac:dyDescent="0.25">
      <c r="A41" s="3" t="s">
        <v>40</v>
      </c>
      <c r="B41" s="3">
        <v>4</v>
      </c>
      <c r="C41" s="3">
        <v>16</v>
      </c>
      <c r="D41" s="3"/>
      <c r="E41" s="3">
        <v>2</v>
      </c>
      <c r="F41" s="3">
        <v>19</v>
      </c>
      <c r="G41" s="3">
        <v>7</v>
      </c>
      <c r="H41" s="3"/>
      <c r="I41" s="3"/>
      <c r="J41" s="3">
        <v>2</v>
      </c>
      <c r="K41" s="11">
        <f>J41+F41+E41+C41</f>
        <v>39</v>
      </c>
      <c r="L41" s="11">
        <f>G41+B41</f>
        <v>11</v>
      </c>
      <c r="M41" s="21">
        <f>SUM(K41:L41)</f>
        <v>50</v>
      </c>
      <c r="N41" s="27" t="s">
        <v>65</v>
      </c>
    </row>
    <row r="42" spans="1:14" ht="15.75" x14ac:dyDescent="0.25">
      <c r="A42" s="3" t="s">
        <v>41</v>
      </c>
      <c r="B42" s="3"/>
      <c r="C42" s="3"/>
      <c r="D42" s="3"/>
      <c r="E42" s="3"/>
      <c r="F42" s="3">
        <v>2</v>
      </c>
      <c r="G42" s="3">
        <v>1</v>
      </c>
      <c r="H42" s="3"/>
      <c r="I42" s="3"/>
      <c r="J42" s="3"/>
      <c r="K42" s="11">
        <v>2</v>
      </c>
      <c r="L42" s="11">
        <v>1</v>
      </c>
      <c r="M42" s="21">
        <v>3</v>
      </c>
      <c r="N42" s="27">
        <v>0</v>
      </c>
    </row>
    <row r="43" spans="1:14" ht="15.75" x14ac:dyDescent="0.25">
      <c r="A43" s="3" t="s">
        <v>42</v>
      </c>
      <c r="B43" s="3">
        <v>4</v>
      </c>
      <c r="C43" s="3">
        <v>12</v>
      </c>
      <c r="D43" s="3"/>
      <c r="E43" s="3"/>
      <c r="F43" s="3">
        <v>22</v>
      </c>
      <c r="G43" s="3">
        <v>7</v>
      </c>
      <c r="H43" s="3">
        <v>1</v>
      </c>
      <c r="I43" s="3"/>
      <c r="J43" s="3"/>
      <c r="K43" s="11">
        <f>F43+C43</f>
        <v>34</v>
      </c>
      <c r="L43" s="11">
        <f>H43+G43+B43</f>
        <v>12</v>
      </c>
      <c r="M43" s="21">
        <f>SUM(K43:L43)</f>
        <v>46</v>
      </c>
      <c r="N43" s="27" t="s">
        <v>79</v>
      </c>
    </row>
    <row r="44" spans="1:14" ht="15.75" x14ac:dyDescent="0.25">
      <c r="A44" s="7" t="s">
        <v>43</v>
      </c>
      <c r="B44" s="3">
        <v>18</v>
      </c>
      <c r="C44" s="3">
        <v>51</v>
      </c>
      <c r="D44" s="3">
        <v>1</v>
      </c>
      <c r="E44" s="3">
        <v>5</v>
      </c>
      <c r="F44" s="3">
        <v>41</v>
      </c>
      <c r="G44" s="3">
        <v>11</v>
      </c>
      <c r="H44" s="3">
        <v>3</v>
      </c>
      <c r="I44" s="3">
        <v>6</v>
      </c>
      <c r="J44" s="3">
        <v>8</v>
      </c>
      <c r="K44" s="11">
        <f>J44+F44+E44+C44</f>
        <v>105</v>
      </c>
      <c r="L44" s="11">
        <f>I44+H44+G44+D44+B44</f>
        <v>39</v>
      </c>
      <c r="M44" s="21">
        <v>144</v>
      </c>
      <c r="N44" s="27" t="s">
        <v>130</v>
      </c>
    </row>
    <row r="45" spans="1:14" ht="15.75" x14ac:dyDescent="0.25">
      <c r="A45" s="3" t="s">
        <v>44</v>
      </c>
      <c r="B45" s="3">
        <v>1</v>
      </c>
      <c r="C45" s="3">
        <v>4</v>
      </c>
      <c r="D45" s="3"/>
      <c r="E45" s="3"/>
      <c r="F45" s="3">
        <v>4</v>
      </c>
      <c r="G45" s="3"/>
      <c r="H45" s="3"/>
      <c r="I45" s="3"/>
      <c r="J45" s="3"/>
      <c r="K45" s="11">
        <v>8</v>
      </c>
      <c r="L45" s="11">
        <v>1</v>
      </c>
      <c r="M45" s="21">
        <v>9</v>
      </c>
      <c r="N45" s="27" t="s">
        <v>80</v>
      </c>
    </row>
    <row r="46" spans="1:14" ht="15.75" x14ac:dyDescent="0.25">
      <c r="A46" s="3" t="s">
        <v>45</v>
      </c>
      <c r="B46" s="3"/>
      <c r="C46" s="3">
        <v>1</v>
      </c>
      <c r="D46" s="3"/>
      <c r="E46" s="3"/>
      <c r="F46" s="3">
        <v>1</v>
      </c>
      <c r="G46" s="3"/>
      <c r="H46" s="3">
        <v>1</v>
      </c>
      <c r="I46" s="3"/>
      <c r="J46" s="3"/>
      <c r="K46" s="11">
        <v>2</v>
      </c>
      <c r="L46" s="11">
        <v>1</v>
      </c>
      <c r="M46" s="21">
        <v>3</v>
      </c>
      <c r="N46" s="27">
        <v>0</v>
      </c>
    </row>
    <row r="47" spans="1:14" ht="15.75" x14ac:dyDescent="0.25">
      <c r="A47" s="3" t="s">
        <v>100</v>
      </c>
      <c r="B47" s="3">
        <v>4</v>
      </c>
      <c r="C47" s="3">
        <v>16</v>
      </c>
      <c r="D47" s="3"/>
      <c r="E47" s="3">
        <v>2</v>
      </c>
      <c r="F47" s="3">
        <v>13</v>
      </c>
      <c r="G47" s="3">
        <v>2</v>
      </c>
      <c r="H47" s="3"/>
      <c r="I47" s="3"/>
      <c r="J47" s="3">
        <v>1</v>
      </c>
      <c r="K47" s="11">
        <f>J47+F47+E47+C47</f>
        <v>32</v>
      </c>
      <c r="L47" s="11">
        <f>G47+B47</f>
        <v>6</v>
      </c>
      <c r="M47" s="21">
        <f>SUM(K47:L47)</f>
        <v>38</v>
      </c>
      <c r="N47" s="27" t="s">
        <v>128</v>
      </c>
    </row>
    <row r="48" spans="1:14" ht="15.75" x14ac:dyDescent="0.25">
      <c r="A48" s="3" t="s">
        <v>46</v>
      </c>
      <c r="B48" s="3">
        <v>1</v>
      </c>
      <c r="C48" s="3">
        <v>7</v>
      </c>
      <c r="D48" s="3"/>
      <c r="E48" s="3">
        <v>1</v>
      </c>
      <c r="F48" s="3">
        <v>10</v>
      </c>
      <c r="G48" s="3">
        <v>1</v>
      </c>
      <c r="H48" s="3">
        <v>3</v>
      </c>
      <c r="I48" s="3">
        <v>1</v>
      </c>
      <c r="J48" s="3">
        <v>1</v>
      </c>
      <c r="K48" s="11">
        <f>J48+2+F48+E48+C48</f>
        <v>21</v>
      </c>
      <c r="L48" s="11">
        <f>1+B48+I48+G48</f>
        <v>4</v>
      </c>
      <c r="M48" s="21">
        <v>25</v>
      </c>
      <c r="N48" s="27" t="s">
        <v>90</v>
      </c>
    </row>
    <row r="49" spans="1:14" ht="15.75" x14ac:dyDescent="0.25">
      <c r="A49" s="3" t="s">
        <v>47</v>
      </c>
      <c r="B49" s="3"/>
      <c r="C49" s="3">
        <v>8</v>
      </c>
      <c r="D49" s="3"/>
      <c r="E49" s="3"/>
      <c r="F49" s="3">
        <v>4</v>
      </c>
      <c r="G49" s="3">
        <v>2</v>
      </c>
      <c r="H49" s="3"/>
      <c r="I49" s="3"/>
      <c r="J49" s="3">
        <v>1</v>
      </c>
      <c r="K49" s="11">
        <f>J49+F49+C49</f>
        <v>13</v>
      </c>
      <c r="L49" s="11">
        <v>2</v>
      </c>
      <c r="M49" s="21">
        <f>SUM(K49:L49)</f>
        <v>15</v>
      </c>
      <c r="N49" s="27" t="s">
        <v>68</v>
      </c>
    </row>
    <row r="50" spans="1:14" ht="15.75" x14ac:dyDescent="0.25">
      <c r="A50" s="3" t="s">
        <v>48</v>
      </c>
      <c r="B50" s="3">
        <v>1</v>
      </c>
      <c r="C50" s="3">
        <v>4</v>
      </c>
      <c r="D50" s="3"/>
      <c r="E50" s="3"/>
      <c r="F50" s="3">
        <v>4</v>
      </c>
      <c r="G50" s="3">
        <v>6</v>
      </c>
      <c r="H50" s="3"/>
      <c r="I50" s="3"/>
      <c r="J50" s="3"/>
      <c r="K50" s="11">
        <v>8</v>
      </c>
      <c r="L50" s="11">
        <v>7</v>
      </c>
      <c r="M50" s="21">
        <v>15</v>
      </c>
      <c r="N50" s="27" t="s">
        <v>129</v>
      </c>
    </row>
    <row r="51" spans="1:14" ht="15.75" x14ac:dyDescent="0.25">
      <c r="A51" s="3" t="s">
        <v>49</v>
      </c>
      <c r="B51" s="3"/>
      <c r="C51" s="3"/>
      <c r="D51" s="3"/>
      <c r="E51" s="3"/>
      <c r="F51" s="3">
        <v>1</v>
      </c>
      <c r="G51" s="3"/>
      <c r="H51" s="3"/>
      <c r="I51" s="3"/>
      <c r="J51" s="3"/>
      <c r="K51" s="11">
        <v>1</v>
      </c>
      <c r="L51" s="11">
        <v>0</v>
      </c>
      <c r="M51" s="21">
        <v>1</v>
      </c>
      <c r="N51" s="27" t="s">
        <v>80</v>
      </c>
    </row>
    <row r="53" spans="1:14" x14ac:dyDescent="0.25">
      <c r="A53" s="29" t="s">
        <v>140</v>
      </c>
      <c r="K53" s="29">
        <f>SUM(K3:K51)</f>
        <v>1007</v>
      </c>
      <c r="L53">
        <f>SUM(L3:L51)</f>
        <v>316</v>
      </c>
      <c r="M53">
        <f>SUM(M3:M51)</f>
        <v>1323</v>
      </c>
    </row>
  </sheetData>
  <pageMargins left="0.7" right="0.7" top="0.75" bottom="0.75" header="0.3" footer="0.3"/>
  <pageSetup orientation="portrait" r:id="rId1"/>
  <ignoredErrors>
    <ignoredError sqref="K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27" workbookViewId="0">
      <selection activeCell="I53" sqref="I53"/>
    </sheetView>
  </sheetViews>
  <sheetFormatPr defaultRowHeight="15" x14ac:dyDescent="0.25"/>
  <cols>
    <col min="1" max="1" width="20.140625" bestFit="1" customWidth="1"/>
    <col min="2" max="2" width="4.5703125" bestFit="1" customWidth="1"/>
    <col min="3" max="3" width="3.5703125" bestFit="1" customWidth="1"/>
    <col min="4" max="4" width="3.42578125" bestFit="1" customWidth="1"/>
    <col min="5" max="5" width="4.140625" bestFit="1" customWidth="1"/>
    <col min="6" max="6" width="3.42578125" bestFit="1" customWidth="1"/>
    <col min="7" max="7" width="3.140625" bestFit="1" customWidth="1"/>
    <col min="8" max="8" width="3.7109375" bestFit="1" customWidth="1"/>
    <col min="9" max="9" width="3.42578125" bestFit="1" customWidth="1"/>
    <col min="10" max="10" width="4.140625" bestFit="1" customWidth="1"/>
    <col min="11" max="11" width="12.7109375" bestFit="1" customWidth="1"/>
    <col min="12" max="12" width="10.85546875" bestFit="1" customWidth="1"/>
    <col min="13" max="13" width="20.42578125" bestFit="1" customWidth="1"/>
    <col min="14" max="14" width="20.28515625" bestFit="1" customWidth="1"/>
    <col min="15" max="15" width="16.5703125" bestFit="1" customWidth="1"/>
    <col min="16" max="16" width="21.42578125" style="24" bestFit="1" customWidth="1"/>
  </cols>
  <sheetData>
    <row r="1" spans="1:16" ht="18.75" x14ac:dyDescent="0.3">
      <c r="A1" s="1" t="s">
        <v>60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50</v>
      </c>
      <c r="G1" s="1" t="s">
        <v>51</v>
      </c>
      <c r="H1" s="1" t="s">
        <v>56</v>
      </c>
      <c r="I1" s="1" t="s">
        <v>57</v>
      </c>
      <c r="J1" s="1" t="s">
        <v>58</v>
      </c>
      <c r="K1" s="2" t="s">
        <v>0</v>
      </c>
      <c r="L1" s="2" t="s">
        <v>1</v>
      </c>
      <c r="M1" s="18" t="s">
        <v>61</v>
      </c>
      <c r="N1" s="16" t="s">
        <v>64</v>
      </c>
      <c r="O1" s="16" t="s">
        <v>124</v>
      </c>
      <c r="P1" s="22" t="s">
        <v>125</v>
      </c>
    </row>
    <row r="2" spans="1:16" ht="15.75" x14ac:dyDescent="0.25">
      <c r="A2" s="3" t="s">
        <v>2</v>
      </c>
      <c r="B2" s="3" t="s">
        <v>62</v>
      </c>
      <c r="C2" s="3"/>
      <c r="D2" s="3" t="s">
        <v>63</v>
      </c>
      <c r="E2" s="3"/>
      <c r="F2" s="3" t="s">
        <v>63</v>
      </c>
      <c r="G2" s="3"/>
      <c r="H2" s="3" t="s">
        <v>63</v>
      </c>
      <c r="I2" s="3"/>
      <c r="J2" s="3" t="s">
        <v>63</v>
      </c>
      <c r="K2" s="11" t="s">
        <v>63</v>
      </c>
      <c r="L2" s="11" t="s">
        <v>62</v>
      </c>
      <c r="M2" s="21" t="s">
        <v>131</v>
      </c>
      <c r="N2" s="11"/>
      <c r="O2" s="17">
        <v>4822023</v>
      </c>
      <c r="P2" s="23"/>
    </row>
    <row r="3" spans="1:16" ht="15.75" x14ac:dyDescent="0.25">
      <c r="A3" s="1" t="s">
        <v>3</v>
      </c>
      <c r="B3" s="3"/>
      <c r="C3" s="3"/>
      <c r="D3" s="3"/>
      <c r="E3" s="3"/>
      <c r="F3" s="3"/>
      <c r="G3" s="3"/>
      <c r="H3" s="3"/>
      <c r="I3" s="3"/>
      <c r="J3" s="3"/>
      <c r="K3" s="11"/>
      <c r="L3" s="11"/>
      <c r="M3" s="21"/>
      <c r="N3" s="11"/>
      <c r="O3" s="17">
        <v>731449</v>
      </c>
      <c r="P3" s="23"/>
    </row>
    <row r="4" spans="1:16" ht="15.75" x14ac:dyDescent="0.25">
      <c r="A4" s="3" t="s">
        <v>4</v>
      </c>
      <c r="B4" s="3">
        <v>2</v>
      </c>
      <c r="C4" s="3">
        <v>24</v>
      </c>
      <c r="D4" s="3"/>
      <c r="E4" s="3">
        <v>1</v>
      </c>
      <c r="F4" s="3">
        <v>14</v>
      </c>
      <c r="G4" s="3">
        <v>2</v>
      </c>
      <c r="H4" s="3">
        <v>3</v>
      </c>
      <c r="I4" s="3"/>
      <c r="J4" s="3"/>
      <c r="K4" s="11">
        <f>F4+E4+C4+2</f>
        <v>41</v>
      </c>
      <c r="L4" s="11">
        <f>1+G4+B4</f>
        <v>5</v>
      </c>
      <c r="M4" s="21">
        <v>46</v>
      </c>
      <c r="N4" s="11" t="s">
        <v>89</v>
      </c>
      <c r="O4" s="17">
        <v>6553255</v>
      </c>
      <c r="P4" s="23">
        <f>M4/6.55</f>
        <v>7.0229007633587788</v>
      </c>
    </row>
    <row r="5" spans="1:16" ht="15.75" x14ac:dyDescent="0.25">
      <c r="A5" s="3" t="s">
        <v>5</v>
      </c>
      <c r="B5" s="3">
        <v>1</v>
      </c>
      <c r="C5" s="3">
        <v>5</v>
      </c>
      <c r="D5" s="3"/>
      <c r="E5" s="3">
        <v>1</v>
      </c>
      <c r="F5" s="3">
        <v>5</v>
      </c>
      <c r="G5" s="3">
        <v>4</v>
      </c>
      <c r="H5" s="3">
        <v>1</v>
      </c>
      <c r="I5" s="3"/>
      <c r="J5" s="3"/>
      <c r="K5" s="11">
        <v>11</v>
      </c>
      <c r="L5" s="11">
        <v>6</v>
      </c>
      <c r="M5" s="21">
        <v>17</v>
      </c>
      <c r="N5" s="11" t="s">
        <v>68</v>
      </c>
      <c r="O5" s="17">
        <v>2949131</v>
      </c>
      <c r="P5" s="23">
        <f>M5/2.94</f>
        <v>5.7823129251700678</v>
      </c>
    </row>
    <row r="6" spans="1:16" ht="15.75" x14ac:dyDescent="0.25">
      <c r="A6" s="3" t="s">
        <v>6</v>
      </c>
      <c r="B6" s="3">
        <v>10</v>
      </c>
      <c r="C6" s="3">
        <v>49</v>
      </c>
      <c r="D6" s="3"/>
      <c r="E6" s="3">
        <v>7</v>
      </c>
      <c r="F6" s="3">
        <v>59</v>
      </c>
      <c r="G6" s="3">
        <v>21</v>
      </c>
      <c r="H6" s="3">
        <v>2</v>
      </c>
      <c r="I6" s="3">
        <v>2</v>
      </c>
      <c r="J6" s="3">
        <v>1</v>
      </c>
      <c r="K6" s="11">
        <f>C6+E6+F6+J6</f>
        <v>116</v>
      </c>
      <c r="L6" s="11">
        <f>B6+G6+H6+I6</f>
        <v>35</v>
      </c>
      <c r="M6" s="21">
        <v>151</v>
      </c>
      <c r="N6" s="11" t="s">
        <v>136</v>
      </c>
      <c r="O6" s="17">
        <v>38041430</v>
      </c>
      <c r="P6" s="23">
        <f>M6/38.04</f>
        <v>3.9695057833859098</v>
      </c>
    </row>
    <row r="7" spans="1:16" ht="15.75" x14ac:dyDescent="0.25">
      <c r="A7" s="3" t="s">
        <v>7</v>
      </c>
      <c r="B7" s="3">
        <v>2</v>
      </c>
      <c r="C7" s="3">
        <v>12</v>
      </c>
      <c r="D7" s="3"/>
      <c r="E7" s="3"/>
      <c r="F7" s="3">
        <v>9</v>
      </c>
      <c r="G7" s="3">
        <v>2</v>
      </c>
      <c r="H7" s="3"/>
      <c r="I7" s="3"/>
      <c r="J7" s="3">
        <v>2</v>
      </c>
      <c r="K7" s="11">
        <v>23</v>
      </c>
      <c r="L7" s="11">
        <v>4</v>
      </c>
      <c r="M7" s="21">
        <f>SUM(K7:L7)</f>
        <v>27</v>
      </c>
      <c r="N7" s="11" t="s">
        <v>88</v>
      </c>
      <c r="O7" s="17">
        <v>5187582</v>
      </c>
      <c r="P7" s="23">
        <f>M7/5.18</f>
        <v>5.212355212355213</v>
      </c>
    </row>
    <row r="8" spans="1:16" ht="15.75" x14ac:dyDescent="0.25">
      <c r="A8" s="3" t="s">
        <v>8</v>
      </c>
      <c r="B8" s="3"/>
      <c r="C8" s="3">
        <v>3</v>
      </c>
      <c r="D8" s="3"/>
      <c r="E8" s="3"/>
      <c r="F8" s="3">
        <v>5</v>
      </c>
      <c r="G8" s="3">
        <v>3</v>
      </c>
      <c r="H8" s="3">
        <v>1</v>
      </c>
      <c r="I8" s="3"/>
      <c r="J8" s="3"/>
      <c r="K8" s="11">
        <v>8</v>
      </c>
      <c r="L8" s="11">
        <v>4</v>
      </c>
      <c r="M8" s="21">
        <v>12</v>
      </c>
      <c r="N8" s="11" t="s">
        <v>111</v>
      </c>
      <c r="O8" s="17">
        <v>3590347</v>
      </c>
      <c r="P8" s="23">
        <f>M8/3.59</f>
        <v>3.3426183844011144</v>
      </c>
    </row>
    <row r="9" spans="1:16" ht="15.75" x14ac:dyDescent="0.25">
      <c r="A9" s="3" t="s">
        <v>9</v>
      </c>
      <c r="B9" s="3"/>
      <c r="C9" s="3"/>
      <c r="D9" s="3"/>
      <c r="E9" s="3"/>
      <c r="F9" s="3">
        <v>1</v>
      </c>
      <c r="G9" s="3">
        <v>1</v>
      </c>
      <c r="H9" s="3"/>
      <c r="I9" s="3"/>
      <c r="J9" s="3"/>
      <c r="K9" s="11">
        <v>1</v>
      </c>
      <c r="L9" s="11">
        <v>1</v>
      </c>
      <c r="M9" s="21">
        <v>2</v>
      </c>
      <c r="N9" s="11" t="s">
        <v>101</v>
      </c>
      <c r="O9" s="17">
        <v>917092</v>
      </c>
      <c r="P9" s="23">
        <f>2/0.91</f>
        <v>2.1978021978021975</v>
      </c>
    </row>
    <row r="10" spans="1:16" ht="15.75" x14ac:dyDescent="0.25">
      <c r="A10" s="3" t="s">
        <v>10</v>
      </c>
      <c r="B10" s="3" t="s">
        <v>62</v>
      </c>
      <c r="C10" s="3"/>
      <c r="D10" s="3" t="s">
        <v>63</v>
      </c>
      <c r="E10" s="3"/>
      <c r="F10" s="3" t="s">
        <v>63</v>
      </c>
      <c r="G10" s="3"/>
      <c r="H10" s="3" t="s">
        <v>63</v>
      </c>
      <c r="I10" s="3"/>
      <c r="J10" s="3" t="s">
        <v>63</v>
      </c>
      <c r="K10" s="11" t="s">
        <v>63</v>
      </c>
      <c r="L10" s="11" t="s">
        <v>62</v>
      </c>
      <c r="M10" s="21"/>
      <c r="N10" s="11"/>
      <c r="O10" s="17">
        <v>19317568</v>
      </c>
      <c r="P10" s="23"/>
    </row>
    <row r="11" spans="1:16" ht="15.75" x14ac:dyDescent="0.25">
      <c r="A11" s="3" t="s">
        <v>11</v>
      </c>
      <c r="B11" s="3">
        <v>8</v>
      </c>
      <c r="C11" s="3">
        <v>22</v>
      </c>
      <c r="D11" s="3"/>
      <c r="E11" s="3">
        <v>4</v>
      </c>
      <c r="F11" s="3">
        <v>27</v>
      </c>
      <c r="G11" s="3">
        <v>13</v>
      </c>
      <c r="H11" s="3"/>
      <c r="I11" s="3">
        <v>1</v>
      </c>
      <c r="J11" s="3"/>
      <c r="K11" s="11">
        <f>C11+E11+F11</f>
        <v>53</v>
      </c>
      <c r="L11" s="11">
        <f>I11+G11+B11</f>
        <v>22</v>
      </c>
      <c r="M11" s="21">
        <v>75</v>
      </c>
      <c r="N11" s="11" t="s">
        <v>72</v>
      </c>
      <c r="O11" s="17">
        <v>9919945</v>
      </c>
      <c r="P11" s="23">
        <f>75/9.91</f>
        <v>7.5681130171543893</v>
      </c>
    </row>
    <row r="12" spans="1:16" ht="15.75" x14ac:dyDescent="0.25">
      <c r="A12" s="1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  <c r="M12" s="21"/>
      <c r="N12" s="11"/>
      <c r="O12" s="17">
        <v>1392313</v>
      </c>
      <c r="P12" s="23"/>
    </row>
    <row r="13" spans="1:16" ht="15.75" x14ac:dyDescent="0.25">
      <c r="A13" s="3" t="s">
        <v>13</v>
      </c>
      <c r="B13" s="3"/>
      <c r="C13" s="3">
        <v>6</v>
      </c>
      <c r="D13" s="3"/>
      <c r="E13" s="3">
        <v>1</v>
      </c>
      <c r="F13" s="3"/>
      <c r="G13" s="3"/>
      <c r="H13" s="3"/>
      <c r="I13" s="3"/>
      <c r="J13" s="3"/>
      <c r="K13" s="11">
        <v>7</v>
      </c>
      <c r="L13" s="11">
        <v>0</v>
      </c>
      <c r="M13" s="21">
        <v>7</v>
      </c>
      <c r="N13" s="11" t="s">
        <v>80</v>
      </c>
      <c r="O13" s="17">
        <v>1595728</v>
      </c>
      <c r="P13" s="23">
        <f>7/1.59</f>
        <v>4.4025157232704402</v>
      </c>
    </row>
    <row r="14" spans="1:16" ht="15.75" x14ac:dyDescent="0.25">
      <c r="A14" s="3" t="s">
        <v>14</v>
      </c>
      <c r="B14" s="3">
        <v>1</v>
      </c>
      <c r="C14" s="3">
        <v>2</v>
      </c>
      <c r="D14" s="3"/>
      <c r="E14" s="3"/>
      <c r="F14" s="3">
        <v>5</v>
      </c>
      <c r="G14" s="3">
        <v>7</v>
      </c>
      <c r="H14" s="3">
        <v>1</v>
      </c>
      <c r="I14" s="3"/>
      <c r="J14" s="3"/>
      <c r="K14" s="11">
        <v>7</v>
      </c>
      <c r="L14" s="11">
        <v>9</v>
      </c>
      <c r="M14" s="21">
        <v>16</v>
      </c>
      <c r="N14" s="11" t="s">
        <v>68</v>
      </c>
      <c r="O14" s="17">
        <v>12875255</v>
      </c>
      <c r="P14" s="23">
        <f>16/12.87</f>
        <v>1.2432012432012434</v>
      </c>
    </row>
    <row r="15" spans="1:16" ht="15.75" x14ac:dyDescent="0.25">
      <c r="A15" s="3" t="s">
        <v>15</v>
      </c>
      <c r="B15" s="3">
        <v>2</v>
      </c>
      <c r="C15" s="3">
        <v>9</v>
      </c>
      <c r="D15" s="3"/>
      <c r="E15" s="3">
        <v>1</v>
      </c>
      <c r="F15" s="3">
        <v>19</v>
      </c>
      <c r="G15" s="3">
        <v>1</v>
      </c>
      <c r="H15" s="3"/>
      <c r="I15" s="3"/>
      <c r="J15" s="3"/>
      <c r="K15" s="11">
        <v>29</v>
      </c>
      <c r="L15" s="11">
        <v>3</v>
      </c>
      <c r="M15" s="21">
        <v>32</v>
      </c>
      <c r="N15" s="11" t="s">
        <v>65</v>
      </c>
      <c r="O15" s="17">
        <v>6537334</v>
      </c>
      <c r="P15" s="23">
        <f>32/6.53</f>
        <v>4.9004594180704437</v>
      </c>
    </row>
    <row r="16" spans="1:16" ht="15.75" x14ac:dyDescent="0.25">
      <c r="A16" s="3" t="s">
        <v>16</v>
      </c>
      <c r="B16" s="3"/>
      <c r="C16" s="3">
        <v>4</v>
      </c>
      <c r="D16" s="3"/>
      <c r="E16" s="3"/>
      <c r="F16" s="3">
        <v>2</v>
      </c>
      <c r="G16" s="3">
        <v>1</v>
      </c>
      <c r="H16" s="3"/>
      <c r="I16" s="3"/>
      <c r="J16" s="3"/>
      <c r="K16" s="11">
        <v>6</v>
      </c>
      <c r="L16" s="11">
        <v>1</v>
      </c>
      <c r="M16" s="21">
        <v>7</v>
      </c>
      <c r="N16" s="11" t="s">
        <v>68</v>
      </c>
      <c r="O16" s="17">
        <v>3074186</v>
      </c>
      <c r="P16" s="23">
        <f>7/3.07</f>
        <v>2.2801302931596092</v>
      </c>
    </row>
    <row r="17" spans="1:18" ht="15.75" x14ac:dyDescent="0.25">
      <c r="A17" s="3" t="s">
        <v>17</v>
      </c>
      <c r="B17" s="3">
        <v>1</v>
      </c>
      <c r="C17" s="3">
        <v>6</v>
      </c>
      <c r="D17" s="3"/>
      <c r="E17" s="3">
        <v>1</v>
      </c>
      <c r="F17" s="3">
        <v>7</v>
      </c>
      <c r="G17" s="3">
        <v>2</v>
      </c>
      <c r="H17" s="3"/>
      <c r="I17" s="3"/>
      <c r="J17" s="3"/>
      <c r="K17" s="11">
        <v>14</v>
      </c>
      <c r="L17" s="11">
        <v>3</v>
      </c>
      <c r="M17" s="21">
        <v>17</v>
      </c>
      <c r="N17" s="11" t="s">
        <v>90</v>
      </c>
      <c r="O17" s="17">
        <v>2885905</v>
      </c>
      <c r="P17" s="23">
        <f>17/2.88</f>
        <v>5.9027777777777777</v>
      </c>
    </row>
    <row r="18" spans="1:18" ht="15.75" x14ac:dyDescent="0.25">
      <c r="A18" s="3" t="s">
        <v>18</v>
      </c>
      <c r="B18" s="3">
        <v>3</v>
      </c>
      <c r="C18" s="3">
        <v>8</v>
      </c>
      <c r="D18" s="3"/>
      <c r="E18" s="3">
        <v>1</v>
      </c>
      <c r="F18" s="3">
        <v>7</v>
      </c>
      <c r="G18" s="3">
        <v>2</v>
      </c>
      <c r="H18" s="3">
        <v>1</v>
      </c>
      <c r="I18" s="3"/>
      <c r="J18" s="3"/>
      <c r="K18" s="11">
        <v>16</v>
      </c>
      <c r="L18" s="11">
        <v>6</v>
      </c>
      <c r="M18" s="21">
        <v>22</v>
      </c>
      <c r="N18" s="11" t="s">
        <v>88</v>
      </c>
      <c r="O18" s="17">
        <v>4380415</v>
      </c>
      <c r="P18" s="23">
        <f>22/4.38</f>
        <v>5.0228310502283104</v>
      </c>
    </row>
    <row r="19" spans="1:18" ht="15.75" x14ac:dyDescent="0.25">
      <c r="A19" s="3" t="s">
        <v>19</v>
      </c>
      <c r="B19" s="3">
        <v>4</v>
      </c>
      <c r="C19" s="3">
        <v>7</v>
      </c>
      <c r="D19" s="3"/>
      <c r="E19" s="3"/>
      <c r="F19" s="3">
        <v>13</v>
      </c>
      <c r="G19" s="3">
        <v>4</v>
      </c>
      <c r="H19" s="3">
        <v>1</v>
      </c>
      <c r="I19" s="3"/>
      <c r="J19" s="3">
        <v>1</v>
      </c>
      <c r="K19" s="11">
        <v>21</v>
      </c>
      <c r="L19" s="11">
        <v>9</v>
      </c>
      <c r="M19" s="21">
        <v>30</v>
      </c>
      <c r="N19" s="11" t="s">
        <v>80</v>
      </c>
      <c r="O19" s="17">
        <v>4601893</v>
      </c>
      <c r="P19" s="23">
        <f>30/4.6</f>
        <v>6.5217391304347831</v>
      </c>
    </row>
    <row r="20" spans="1:18" ht="15.75" x14ac:dyDescent="0.25">
      <c r="A20" s="3" t="s">
        <v>20</v>
      </c>
      <c r="B20" s="3"/>
      <c r="C20" s="3">
        <v>1</v>
      </c>
      <c r="D20" s="3"/>
      <c r="E20" s="3"/>
      <c r="F20" s="3">
        <v>3</v>
      </c>
      <c r="G20" s="3">
        <v>1</v>
      </c>
      <c r="H20" s="3"/>
      <c r="I20" s="3"/>
      <c r="J20" s="3"/>
      <c r="K20" s="11">
        <v>4</v>
      </c>
      <c r="L20" s="11">
        <v>1</v>
      </c>
      <c r="M20" s="21">
        <v>5</v>
      </c>
      <c r="N20" s="11" t="s">
        <v>80</v>
      </c>
      <c r="O20" s="17">
        <v>1329192</v>
      </c>
      <c r="P20" s="23">
        <f>5/1.32</f>
        <v>3.7878787878787876</v>
      </c>
    </row>
    <row r="21" spans="1:18" ht="15.75" x14ac:dyDescent="0.25">
      <c r="A21" s="3" t="s">
        <v>21</v>
      </c>
      <c r="B21" s="3">
        <v>1</v>
      </c>
      <c r="C21" s="3">
        <v>8</v>
      </c>
      <c r="D21" s="3"/>
      <c r="E21" s="3">
        <v>2</v>
      </c>
      <c r="F21" s="3">
        <v>10</v>
      </c>
      <c r="G21" s="3">
        <v>5</v>
      </c>
      <c r="H21" s="3"/>
      <c r="I21" s="3"/>
      <c r="J21" s="3"/>
      <c r="K21" s="11">
        <v>20</v>
      </c>
      <c r="L21" s="11">
        <v>6</v>
      </c>
      <c r="M21" s="21">
        <v>26</v>
      </c>
      <c r="N21" s="11" t="s">
        <v>93</v>
      </c>
      <c r="O21" s="17">
        <v>5884563</v>
      </c>
      <c r="P21" s="23">
        <f>26/5.88</f>
        <v>4.4217687074829932</v>
      </c>
    </row>
    <row r="22" spans="1:18" ht="15.75" x14ac:dyDescent="0.25">
      <c r="A22" s="3" t="s">
        <v>59</v>
      </c>
      <c r="B22" s="3">
        <v>1</v>
      </c>
      <c r="C22" s="3">
        <v>2</v>
      </c>
      <c r="D22" s="3"/>
      <c r="E22" s="3"/>
      <c r="F22" s="3">
        <v>5</v>
      </c>
      <c r="G22" s="3"/>
      <c r="H22" s="3"/>
      <c r="I22" s="3"/>
      <c r="J22" s="3">
        <v>1</v>
      </c>
      <c r="K22" s="11">
        <v>8</v>
      </c>
      <c r="L22" s="11">
        <v>1</v>
      </c>
      <c r="M22" s="21">
        <v>9</v>
      </c>
      <c r="N22" s="11">
        <v>0</v>
      </c>
      <c r="O22" s="17">
        <v>6646144</v>
      </c>
      <c r="P22" s="23">
        <f>9/6.64</f>
        <v>1.3554216867469879</v>
      </c>
    </row>
    <row r="23" spans="1:18" ht="15.75" x14ac:dyDescent="0.25">
      <c r="A23" s="3" t="s">
        <v>22</v>
      </c>
      <c r="B23" s="3">
        <v>2</v>
      </c>
      <c r="C23" s="3">
        <v>13</v>
      </c>
      <c r="D23" s="3"/>
      <c r="E23" s="3">
        <v>1</v>
      </c>
      <c r="F23" s="3">
        <v>9</v>
      </c>
      <c r="G23" s="3">
        <v>8</v>
      </c>
      <c r="H23" s="3"/>
      <c r="I23" s="3"/>
      <c r="J23" s="3">
        <v>2</v>
      </c>
      <c r="K23" s="11">
        <f>C23+E23+F23+2</f>
        <v>25</v>
      </c>
      <c r="L23" s="11">
        <v>10</v>
      </c>
      <c r="M23" s="21">
        <v>35</v>
      </c>
      <c r="N23" s="11" t="s">
        <v>137</v>
      </c>
      <c r="O23" s="17">
        <v>9883360</v>
      </c>
      <c r="P23" s="23">
        <f>35/9.88</f>
        <v>3.5425101214574894</v>
      </c>
    </row>
    <row r="24" spans="1:18" ht="15.75" x14ac:dyDescent="0.25">
      <c r="A24" s="3" t="s">
        <v>23</v>
      </c>
      <c r="B24" s="3">
        <v>1</v>
      </c>
      <c r="C24" s="3">
        <v>4</v>
      </c>
      <c r="D24" s="3"/>
      <c r="E24" s="3"/>
      <c r="F24" s="3">
        <v>8</v>
      </c>
      <c r="G24" s="3">
        <v>1</v>
      </c>
      <c r="H24" s="3"/>
      <c r="I24" s="3">
        <v>1</v>
      </c>
      <c r="J24" s="3"/>
      <c r="K24" s="11">
        <v>12</v>
      </c>
      <c r="L24" s="11">
        <v>3</v>
      </c>
      <c r="M24" s="21">
        <v>15</v>
      </c>
      <c r="N24" s="11" t="s">
        <v>112</v>
      </c>
      <c r="O24" s="17">
        <v>5379139</v>
      </c>
      <c r="P24" s="23">
        <f>15/5.37</f>
        <v>2.7932960893854748</v>
      </c>
    </row>
    <row r="25" spans="1:18" ht="15.75" x14ac:dyDescent="0.25">
      <c r="A25" s="3" t="s">
        <v>24</v>
      </c>
      <c r="B25" s="3">
        <v>1</v>
      </c>
      <c r="C25" s="3">
        <v>4</v>
      </c>
      <c r="D25" s="3"/>
      <c r="E25" s="3">
        <v>1</v>
      </c>
      <c r="F25" s="3">
        <v>8</v>
      </c>
      <c r="G25" s="3">
        <v>2</v>
      </c>
      <c r="H25" s="3"/>
      <c r="I25" s="3"/>
      <c r="J25" s="3"/>
      <c r="K25" s="11">
        <v>13</v>
      </c>
      <c r="L25" s="11">
        <v>3</v>
      </c>
      <c r="M25" s="21">
        <v>16</v>
      </c>
      <c r="N25" s="11" t="s">
        <v>68</v>
      </c>
      <c r="O25" s="17">
        <v>2984926</v>
      </c>
      <c r="P25" s="23">
        <f>16/2.98</f>
        <v>5.3691275167785237</v>
      </c>
    </row>
    <row r="26" spans="1:18" ht="15.75" x14ac:dyDescent="0.25">
      <c r="A26" s="3" t="s">
        <v>25</v>
      </c>
      <c r="B26" s="3">
        <v>5</v>
      </c>
      <c r="C26" s="3">
        <v>12</v>
      </c>
      <c r="D26" s="3"/>
      <c r="E26" s="3"/>
      <c r="F26" s="3">
        <v>19</v>
      </c>
      <c r="G26" s="3">
        <v>7</v>
      </c>
      <c r="H26" s="3"/>
      <c r="I26" s="3"/>
      <c r="J26" s="3"/>
      <c r="K26" s="11">
        <f>C26+F26</f>
        <v>31</v>
      </c>
      <c r="L26" s="11">
        <f>B26+G26</f>
        <v>12</v>
      </c>
      <c r="M26" s="21">
        <v>43</v>
      </c>
      <c r="N26" s="11" t="s">
        <v>137</v>
      </c>
      <c r="O26" s="17">
        <v>6021988</v>
      </c>
      <c r="P26" s="23">
        <f>43/6.02</f>
        <v>7.1428571428571432</v>
      </c>
    </row>
    <row r="27" spans="1:18" ht="15.75" x14ac:dyDescent="0.25">
      <c r="A27" s="3" t="s">
        <v>26</v>
      </c>
      <c r="B27" s="3"/>
      <c r="C27" s="3">
        <v>2</v>
      </c>
      <c r="D27" s="3"/>
      <c r="E27" s="3"/>
      <c r="F27" s="3">
        <v>3</v>
      </c>
      <c r="G27" s="3"/>
      <c r="H27" s="3"/>
      <c r="I27" s="3"/>
      <c r="J27" s="3">
        <v>1</v>
      </c>
      <c r="K27" s="11">
        <v>6</v>
      </c>
      <c r="L27" s="11">
        <v>0</v>
      </c>
      <c r="M27" s="21">
        <v>6</v>
      </c>
      <c r="N27" s="11">
        <v>0</v>
      </c>
      <c r="O27" s="17">
        <v>1005141</v>
      </c>
      <c r="P27" s="23">
        <f>6/1</f>
        <v>6</v>
      </c>
    </row>
    <row r="28" spans="1:18" ht="15.75" x14ac:dyDescent="0.25">
      <c r="A28" s="3" t="s">
        <v>27</v>
      </c>
      <c r="B28" s="3"/>
      <c r="C28" s="3"/>
      <c r="D28" s="3"/>
      <c r="E28" s="3"/>
      <c r="F28" s="3">
        <v>1</v>
      </c>
      <c r="G28" s="3"/>
      <c r="H28" s="3"/>
      <c r="I28" s="3"/>
      <c r="J28" s="3"/>
      <c r="K28" s="11">
        <v>1</v>
      </c>
      <c r="L28" s="11">
        <v>0</v>
      </c>
      <c r="M28" s="21">
        <v>1</v>
      </c>
      <c r="N28" s="11" t="s">
        <v>80</v>
      </c>
      <c r="O28" s="17">
        <v>1855525</v>
      </c>
      <c r="P28" s="23">
        <f>1/1.85</f>
        <v>0.54054054054054046</v>
      </c>
    </row>
    <row r="29" spans="1:18" ht="15.75" x14ac:dyDescent="0.25">
      <c r="A29" s="3" t="s">
        <v>28</v>
      </c>
      <c r="B29" s="3">
        <v>2</v>
      </c>
      <c r="C29" s="3">
        <v>7</v>
      </c>
      <c r="D29" s="3"/>
      <c r="E29" s="3">
        <v>1</v>
      </c>
      <c r="F29" s="3">
        <v>4</v>
      </c>
      <c r="G29" s="3">
        <v>2</v>
      </c>
      <c r="H29" s="3">
        <v>1</v>
      </c>
      <c r="I29" s="3">
        <v>1</v>
      </c>
      <c r="J29" s="3">
        <v>1</v>
      </c>
      <c r="K29" s="11">
        <f>J29+F29+E29+C29</f>
        <v>13</v>
      </c>
      <c r="L29" s="11">
        <f>B29+G29+2</f>
        <v>6</v>
      </c>
      <c r="M29" s="21">
        <v>19</v>
      </c>
      <c r="N29" s="11" t="s">
        <v>70</v>
      </c>
      <c r="O29" s="17">
        <v>2758931</v>
      </c>
      <c r="P29" s="23">
        <f>19/2.75</f>
        <v>6.9090909090909092</v>
      </c>
    </row>
    <row r="30" spans="1:18" ht="15.75" x14ac:dyDescent="0.25">
      <c r="A30" s="3" t="s">
        <v>29</v>
      </c>
      <c r="B30" s="3"/>
      <c r="C30" s="3">
        <v>2</v>
      </c>
      <c r="D30" s="3"/>
      <c r="E30" s="3"/>
      <c r="F30" s="3"/>
      <c r="G30" s="3"/>
      <c r="H30" s="3"/>
      <c r="I30" s="3"/>
      <c r="J30" s="3"/>
      <c r="K30" s="11">
        <v>2</v>
      </c>
      <c r="L30" s="11">
        <v>0</v>
      </c>
      <c r="M30" s="21">
        <v>2</v>
      </c>
      <c r="N30" s="11">
        <v>0</v>
      </c>
      <c r="O30" s="17">
        <v>1320718</v>
      </c>
      <c r="P30" s="23">
        <f>2/1.32</f>
        <v>1.5151515151515151</v>
      </c>
    </row>
    <row r="31" spans="1:18" ht="15.75" x14ac:dyDescent="0.25">
      <c r="A31" s="3" t="s">
        <v>30</v>
      </c>
      <c r="B31" s="3">
        <v>2</v>
      </c>
      <c r="C31" s="3">
        <v>8</v>
      </c>
      <c r="D31" s="3"/>
      <c r="E31" s="3"/>
      <c r="F31" s="3">
        <v>12</v>
      </c>
      <c r="G31" s="3">
        <v>3</v>
      </c>
      <c r="H31" s="3"/>
      <c r="I31" s="3"/>
      <c r="J31" s="3"/>
      <c r="K31" s="11">
        <f>C31+F31</f>
        <v>20</v>
      </c>
      <c r="L31" s="11">
        <v>5</v>
      </c>
      <c r="M31" s="21">
        <v>25</v>
      </c>
      <c r="N31" s="11" t="s">
        <v>68</v>
      </c>
      <c r="O31" s="17">
        <v>8864590</v>
      </c>
      <c r="P31" s="23">
        <f>25/8.86</f>
        <v>2.8216704288939054</v>
      </c>
    </row>
    <row r="32" spans="1:18" ht="15.75" x14ac:dyDescent="0.25">
      <c r="A32" s="3" t="s">
        <v>31</v>
      </c>
      <c r="B32" s="3">
        <v>3</v>
      </c>
      <c r="C32" s="3"/>
      <c r="D32" s="3">
        <v>1</v>
      </c>
      <c r="E32" s="3"/>
      <c r="F32" s="3">
        <v>3</v>
      </c>
      <c r="G32" s="3"/>
      <c r="H32" s="3">
        <v>1</v>
      </c>
      <c r="I32" s="3"/>
      <c r="J32" s="3"/>
      <c r="K32" s="11">
        <v>3</v>
      </c>
      <c r="L32" s="11">
        <v>5</v>
      </c>
      <c r="M32" s="21">
        <v>8</v>
      </c>
      <c r="N32" s="11" t="s">
        <v>88</v>
      </c>
      <c r="O32" s="17">
        <v>2085538</v>
      </c>
      <c r="P32" s="23">
        <f>8/2.08</f>
        <v>3.8461538461538458</v>
      </c>
      <c r="R32" s="56" t="s">
        <v>143</v>
      </c>
    </row>
    <row r="33" spans="1:16" ht="15.75" x14ac:dyDescent="0.25">
      <c r="A33" s="7" t="s">
        <v>32</v>
      </c>
      <c r="B33" s="3">
        <v>2</v>
      </c>
      <c r="C33" s="3">
        <v>20</v>
      </c>
      <c r="D33" s="3"/>
      <c r="E33" s="3">
        <v>1</v>
      </c>
      <c r="F33" s="3">
        <v>30</v>
      </c>
      <c r="G33" s="3">
        <v>8</v>
      </c>
      <c r="H33" s="3">
        <v>4</v>
      </c>
      <c r="I33" s="3"/>
      <c r="J33" s="3"/>
      <c r="K33" s="11">
        <v>51</v>
      </c>
      <c r="L33" s="11">
        <v>14</v>
      </c>
      <c r="M33" s="21">
        <f>SUM(K33:L33)</f>
        <v>65</v>
      </c>
      <c r="N33" s="11" t="s">
        <v>138</v>
      </c>
      <c r="O33" s="17">
        <v>19570261</v>
      </c>
      <c r="P33" s="23">
        <f>65/19.57</f>
        <v>3.321410321921308</v>
      </c>
    </row>
    <row r="34" spans="1:16" ht="15.75" x14ac:dyDescent="0.25">
      <c r="A34" s="3" t="s">
        <v>33</v>
      </c>
      <c r="B34" s="3">
        <v>5</v>
      </c>
      <c r="C34" s="3">
        <v>17</v>
      </c>
      <c r="D34" s="3">
        <v>1</v>
      </c>
      <c r="E34" s="3">
        <v>2</v>
      </c>
      <c r="F34" s="3">
        <v>22</v>
      </c>
      <c r="G34" s="3">
        <v>6</v>
      </c>
      <c r="H34" s="3"/>
      <c r="I34" s="3"/>
      <c r="J34" s="3">
        <v>1</v>
      </c>
      <c r="K34" s="11">
        <f>J34+F34+E34+C34</f>
        <v>42</v>
      </c>
      <c r="L34" s="11">
        <f>B34+D34+G34</f>
        <v>12</v>
      </c>
      <c r="M34" s="21">
        <f>SUM(K34:L34)</f>
        <v>54</v>
      </c>
      <c r="N34" s="11" t="s">
        <v>96</v>
      </c>
      <c r="O34" s="17">
        <v>9752073</v>
      </c>
      <c r="P34" s="23">
        <f>54/9.75</f>
        <v>5.5384615384615383</v>
      </c>
    </row>
    <row r="35" spans="1:16" ht="15.75" x14ac:dyDescent="0.25">
      <c r="A35" s="3" t="s">
        <v>34</v>
      </c>
      <c r="B35" s="3">
        <v>1</v>
      </c>
      <c r="C35" s="3"/>
      <c r="D35" s="3"/>
      <c r="E35" s="3"/>
      <c r="F35" s="3">
        <v>1</v>
      </c>
      <c r="G35" s="3"/>
      <c r="H35" s="3"/>
      <c r="I35" s="3"/>
      <c r="J35" s="3"/>
      <c r="K35" s="11">
        <v>2</v>
      </c>
      <c r="L35" s="11">
        <v>0</v>
      </c>
      <c r="M35" s="21">
        <v>2</v>
      </c>
      <c r="N35" s="11" t="s">
        <v>80</v>
      </c>
      <c r="O35" s="17">
        <v>699628</v>
      </c>
      <c r="P35" s="23">
        <f>2/0.69</f>
        <v>2.8985507246376816</v>
      </c>
    </row>
    <row r="36" spans="1:16" ht="15.75" x14ac:dyDescent="0.25">
      <c r="A36" s="3" t="s">
        <v>35</v>
      </c>
      <c r="B36" s="3">
        <v>2</v>
      </c>
      <c r="C36" s="3">
        <v>17</v>
      </c>
      <c r="D36" s="3"/>
      <c r="E36" s="3">
        <v>3</v>
      </c>
      <c r="F36" s="3">
        <v>21</v>
      </c>
      <c r="G36" s="3">
        <v>6</v>
      </c>
      <c r="H36" s="3">
        <v>1</v>
      </c>
      <c r="I36" s="3"/>
      <c r="J36" s="3">
        <v>3</v>
      </c>
      <c r="K36" s="11">
        <f>C36+E36+F36+3</f>
        <v>44</v>
      </c>
      <c r="L36" s="11">
        <f>B36+G36+H36</f>
        <v>9</v>
      </c>
      <c r="M36" s="21">
        <v>53</v>
      </c>
      <c r="N36" s="11" t="s">
        <v>139</v>
      </c>
      <c r="O36" s="17">
        <v>11544225</v>
      </c>
      <c r="P36" s="23">
        <f>53/11.54</f>
        <v>4.592720970537262</v>
      </c>
    </row>
    <row r="37" spans="1:16" ht="15.75" x14ac:dyDescent="0.25">
      <c r="A37" s="3" t="s">
        <v>36</v>
      </c>
      <c r="B37" s="3"/>
      <c r="C37" s="3"/>
      <c r="D37" s="3"/>
      <c r="E37" s="3"/>
      <c r="F37" s="3"/>
      <c r="G37" s="3"/>
      <c r="H37" s="3"/>
      <c r="I37" s="3"/>
      <c r="J37" s="3"/>
      <c r="K37" s="11"/>
      <c r="L37" s="11"/>
      <c r="M37" s="53"/>
      <c r="N37" s="11"/>
      <c r="O37" s="17">
        <v>3814820</v>
      </c>
      <c r="P37" s="23"/>
    </row>
    <row r="38" spans="1:16" ht="15.75" x14ac:dyDescent="0.25">
      <c r="A38" s="3" t="s">
        <v>37</v>
      </c>
      <c r="B38" s="3"/>
      <c r="C38" s="3"/>
      <c r="D38" s="3"/>
      <c r="E38" s="3"/>
      <c r="F38" s="3"/>
      <c r="G38" s="3"/>
      <c r="H38" s="3"/>
      <c r="I38" s="3"/>
      <c r="J38" s="3"/>
      <c r="K38" s="11"/>
      <c r="L38" s="11"/>
      <c r="M38" s="53"/>
      <c r="N38" s="11"/>
      <c r="O38" s="17">
        <v>3899353</v>
      </c>
      <c r="P38" s="23"/>
    </row>
    <row r="39" spans="1:16" ht="15.75" x14ac:dyDescent="0.25">
      <c r="A39" s="3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11"/>
      <c r="L39" s="11"/>
      <c r="M39" s="53"/>
      <c r="N39" s="11"/>
      <c r="O39" s="17">
        <v>12763536</v>
      </c>
      <c r="P39" s="23"/>
    </row>
    <row r="40" spans="1:16" ht="15.75" x14ac:dyDescent="0.25">
      <c r="A40" s="3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53"/>
      <c r="N40" s="11"/>
      <c r="O40" s="17">
        <v>1050292</v>
      </c>
      <c r="P40" s="23"/>
    </row>
    <row r="41" spans="1:16" ht="15.75" x14ac:dyDescent="0.25">
      <c r="A41" s="3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53"/>
      <c r="N41" s="11"/>
      <c r="O41" s="17">
        <v>4723723</v>
      </c>
      <c r="P41" s="23"/>
    </row>
    <row r="42" spans="1:16" ht="15.75" x14ac:dyDescent="0.25">
      <c r="A42" s="3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11"/>
      <c r="L42" s="11"/>
      <c r="M42" s="53"/>
      <c r="N42" s="11"/>
      <c r="O42" s="17">
        <v>833354</v>
      </c>
      <c r="P42" s="23"/>
    </row>
    <row r="43" spans="1:16" ht="15.75" x14ac:dyDescent="0.25">
      <c r="A43" s="3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11"/>
      <c r="L43" s="11"/>
      <c r="M43" s="53"/>
      <c r="N43" s="11"/>
      <c r="O43" s="17">
        <v>6456243</v>
      </c>
      <c r="P43" s="23"/>
    </row>
    <row r="44" spans="1:16" ht="15.75" x14ac:dyDescent="0.25">
      <c r="A44" s="3" t="s">
        <v>43</v>
      </c>
      <c r="B44" s="3"/>
      <c r="C44" s="3"/>
      <c r="D44" s="3"/>
      <c r="E44" s="3"/>
      <c r="F44" s="3"/>
      <c r="G44" s="3"/>
      <c r="H44" s="3"/>
      <c r="I44" s="3"/>
      <c r="J44" s="3"/>
      <c r="K44" s="11"/>
      <c r="L44" s="11"/>
      <c r="M44" s="53"/>
      <c r="N44" s="11"/>
      <c r="O44" s="17">
        <v>26059203</v>
      </c>
      <c r="P44" s="23"/>
    </row>
    <row r="45" spans="1:16" ht="15.75" x14ac:dyDescent="0.25">
      <c r="A45" s="3" t="s">
        <v>44</v>
      </c>
      <c r="B45" s="3"/>
      <c r="C45" s="3"/>
      <c r="D45" s="3"/>
      <c r="E45" s="3"/>
      <c r="F45" s="3"/>
      <c r="G45" s="3"/>
      <c r="H45" s="3"/>
      <c r="I45" s="3"/>
      <c r="J45" s="3"/>
      <c r="K45" s="11"/>
      <c r="L45" s="11"/>
      <c r="M45" s="53"/>
      <c r="N45" s="11"/>
      <c r="O45" s="17">
        <v>2855287</v>
      </c>
      <c r="P45" s="23"/>
    </row>
    <row r="46" spans="1:16" ht="15.75" x14ac:dyDescent="0.25">
      <c r="A46" s="3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11"/>
      <c r="M46" s="53"/>
      <c r="N46" s="11"/>
      <c r="O46" s="17">
        <v>626011</v>
      </c>
      <c r="P46" s="23"/>
    </row>
    <row r="47" spans="1:16" ht="15.75" x14ac:dyDescent="0.25">
      <c r="A47" s="3" t="s">
        <v>100</v>
      </c>
      <c r="B47" s="3"/>
      <c r="C47" s="3"/>
      <c r="D47" s="3"/>
      <c r="E47" s="3"/>
      <c r="F47" s="3"/>
      <c r="G47" s="3"/>
      <c r="H47" s="3"/>
      <c r="I47" s="3"/>
      <c r="J47" s="3"/>
      <c r="K47" s="11"/>
      <c r="L47" s="11"/>
      <c r="M47" s="53"/>
      <c r="N47" s="11"/>
      <c r="O47" s="17">
        <v>8185867</v>
      </c>
      <c r="P47" s="23"/>
    </row>
    <row r="48" spans="1:16" ht="15.75" x14ac:dyDescent="0.25">
      <c r="A48" s="3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11"/>
      <c r="L48" s="11"/>
      <c r="M48" s="53"/>
      <c r="N48" s="11"/>
      <c r="O48" s="17">
        <v>6897012</v>
      </c>
      <c r="P48" s="23"/>
    </row>
    <row r="49" spans="1:16" ht="15.75" x14ac:dyDescent="0.25">
      <c r="A49" s="3" t="s">
        <v>47</v>
      </c>
      <c r="B49" s="3"/>
      <c r="C49" s="3"/>
      <c r="D49" s="3"/>
      <c r="E49" s="3"/>
      <c r="F49" s="3"/>
      <c r="G49" s="3"/>
      <c r="H49" s="3"/>
      <c r="I49" s="3"/>
      <c r="J49" s="3"/>
      <c r="K49" s="11"/>
      <c r="L49" s="11"/>
      <c r="M49" s="53"/>
      <c r="N49" s="11"/>
      <c r="O49" s="17">
        <v>1855413</v>
      </c>
      <c r="P49" s="23"/>
    </row>
    <row r="50" spans="1:16" ht="15.75" x14ac:dyDescent="0.25">
      <c r="A50" s="3" t="s">
        <v>48</v>
      </c>
      <c r="B50" s="3"/>
      <c r="C50" s="3"/>
      <c r="D50" s="3"/>
      <c r="E50" s="3"/>
      <c r="F50" s="3"/>
      <c r="G50" s="3"/>
      <c r="H50" s="3"/>
      <c r="I50" s="3"/>
      <c r="J50" s="3"/>
      <c r="K50" s="11"/>
      <c r="L50" s="11"/>
      <c r="M50" s="53"/>
      <c r="N50" s="11"/>
      <c r="O50" s="17">
        <v>5726398</v>
      </c>
      <c r="P50" s="23"/>
    </row>
    <row r="51" spans="1:16" ht="15.75" x14ac:dyDescent="0.25">
      <c r="A51" s="3" t="s">
        <v>49</v>
      </c>
      <c r="B51" s="3"/>
      <c r="C51" s="3"/>
      <c r="D51" s="3"/>
      <c r="E51" s="3"/>
      <c r="F51" s="3"/>
      <c r="G51" s="3"/>
      <c r="H51" s="3"/>
      <c r="I51" s="3"/>
      <c r="J51" s="3"/>
      <c r="K51" s="11"/>
      <c r="L51" s="11"/>
      <c r="M51" s="53"/>
      <c r="N51" s="11"/>
      <c r="O51" s="17">
        <v>576412</v>
      </c>
      <c r="P51" s="23"/>
    </row>
    <row r="53" spans="1:16" x14ac:dyDescent="0.25">
      <c r="A53" s="29" t="s">
        <v>140</v>
      </c>
      <c r="K53">
        <f>SUM(K3:K51)</f>
        <v>650</v>
      </c>
      <c r="L53">
        <f>SUM(L3:L51)</f>
        <v>195</v>
      </c>
      <c r="M53">
        <f>SUM(M3:M51)</f>
        <v>845</v>
      </c>
    </row>
  </sheetData>
  <pageMargins left="0.7" right="0.7" top="0.75" bottom="0.75" header="0.3" footer="0.3"/>
  <pageSetup orientation="landscape" r:id="rId1"/>
  <ignoredErrors>
    <ignoredError sqref="M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I25" sqref="I25"/>
    </sheetView>
  </sheetViews>
  <sheetFormatPr defaultRowHeight="15" x14ac:dyDescent="0.25"/>
  <cols>
    <col min="1" max="2" width="9.140625" style="3"/>
    <col min="3" max="3" width="9.140625" style="50"/>
    <col min="4" max="4" width="9.140625" style="3"/>
    <col min="6" max="6" width="13.28515625" customWidth="1"/>
  </cols>
  <sheetData>
    <row r="1" spans="1:15" x14ac:dyDescent="0.25">
      <c r="B1" s="59" t="s">
        <v>147</v>
      </c>
      <c r="C1" s="59" t="s">
        <v>148</v>
      </c>
      <c r="D1" s="59" t="s">
        <v>144</v>
      </c>
    </row>
    <row r="2" spans="1:15" x14ac:dyDescent="0.25">
      <c r="A2" s="60">
        <v>1980</v>
      </c>
      <c r="B2" s="58">
        <v>1549</v>
      </c>
      <c r="C2" s="50">
        <v>1221</v>
      </c>
      <c r="D2" s="3">
        <f>B2+C2</f>
        <v>2770</v>
      </c>
      <c r="F2" s="61"/>
      <c r="G2" s="56" t="s">
        <v>155</v>
      </c>
    </row>
    <row r="3" spans="1:15" x14ac:dyDescent="0.25">
      <c r="A3" s="60">
        <v>1985</v>
      </c>
      <c r="B3" s="58">
        <v>1546</v>
      </c>
      <c r="C3" s="50">
        <v>957</v>
      </c>
      <c r="D3" s="3">
        <f t="shared" ref="D3:D19" si="0">B3+C3</f>
        <v>2503</v>
      </c>
    </row>
    <row r="4" spans="1:15" x14ac:dyDescent="0.25">
      <c r="A4" s="60">
        <v>1990</v>
      </c>
      <c r="B4" s="58">
        <v>1501</v>
      </c>
      <c r="C4" s="50">
        <v>859</v>
      </c>
      <c r="D4" s="3">
        <f t="shared" si="0"/>
        <v>2360</v>
      </c>
      <c r="E4" t="s">
        <v>158</v>
      </c>
      <c r="F4" s="29" t="s">
        <v>157</v>
      </c>
    </row>
    <row r="5" spans="1:15" x14ac:dyDescent="0.25">
      <c r="A5" s="60">
        <v>1993</v>
      </c>
      <c r="B5" s="58">
        <v>1581</v>
      </c>
      <c r="C5" s="50">
        <v>708</v>
      </c>
      <c r="D5" s="3">
        <f t="shared" si="0"/>
        <v>2289</v>
      </c>
      <c r="G5" s="64" t="s">
        <v>156</v>
      </c>
    </row>
    <row r="6" spans="1:15" x14ac:dyDescent="0.25">
      <c r="A6" s="60">
        <v>1994</v>
      </c>
      <c r="B6" s="58">
        <v>1405</v>
      </c>
      <c r="C6" s="50">
        <v>692</v>
      </c>
      <c r="D6" s="3">
        <f t="shared" si="0"/>
        <v>2097</v>
      </c>
    </row>
    <row r="7" spans="1:15" x14ac:dyDescent="0.25">
      <c r="A7" s="60">
        <v>1995</v>
      </c>
      <c r="B7" s="58">
        <v>1321</v>
      </c>
      <c r="C7" s="50">
        <v>547</v>
      </c>
      <c r="D7" s="3">
        <f t="shared" si="0"/>
        <v>1868</v>
      </c>
      <c r="F7" s="29" t="s">
        <v>150</v>
      </c>
    </row>
    <row r="8" spans="1:15" x14ac:dyDescent="0.25">
      <c r="A8" s="60">
        <v>1996</v>
      </c>
      <c r="B8" s="58">
        <v>1324</v>
      </c>
      <c r="C8" s="50">
        <v>515</v>
      </c>
      <c r="D8" s="3">
        <f t="shared" si="0"/>
        <v>1839</v>
      </c>
      <c r="F8" s="29" t="s">
        <v>151</v>
      </c>
    </row>
    <row r="9" spans="1:15" x14ac:dyDescent="0.25">
      <c r="A9" s="60">
        <v>1997</v>
      </c>
      <c r="B9" s="58">
        <v>1174</v>
      </c>
      <c r="C9" s="50">
        <v>430</v>
      </c>
      <c r="D9" s="3">
        <f t="shared" si="0"/>
        <v>1604</v>
      </c>
      <c r="F9" s="63" t="s">
        <v>149</v>
      </c>
    </row>
    <row r="10" spans="1:15" x14ac:dyDescent="0.25">
      <c r="A10" s="49">
        <v>1998</v>
      </c>
      <c r="B10" s="50">
        <v>1078</v>
      </c>
      <c r="C10" s="50">
        <v>372</v>
      </c>
      <c r="D10" s="3">
        <f t="shared" si="0"/>
        <v>1450</v>
      </c>
      <c r="F10" s="65"/>
    </row>
    <row r="11" spans="1:15" x14ac:dyDescent="0.25">
      <c r="A11" s="49">
        <v>1999</v>
      </c>
      <c r="B11" s="50">
        <v>974</v>
      </c>
      <c r="C11" s="50">
        <v>300</v>
      </c>
      <c r="D11" s="3">
        <f t="shared" si="0"/>
        <v>1274</v>
      </c>
    </row>
    <row r="12" spans="1:15" x14ac:dyDescent="0.25">
      <c r="A12" s="49">
        <v>2000</v>
      </c>
      <c r="B12" s="50">
        <v>1015</v>
      </c>
      <c r="C12" s="50">
        <v>315</v>
      </c>
      <c r="D12" s="3">
        <f t="shared" si="0"/>
        <v>1330</v>
      </c>
    </row>
    <row r="13" spans="1:15" x14ac:dyDescent="0.25">
      <c r="A13" s="49">
        <v>2001</v>
      </c>
      <c r="B13" s="50">
        <v>1034</v>
      </c>
      <c r="C13" s="50">
        <v>295</v>
      </c>
      <c r="D13" s="3">
        <f t="shared" si="0"/>
        <v>1329</v>
      </c>
    </row>
    <row r="14" spans="1:15" x14ac:dyDescent="0.25">
      <c r="A14" s="49">
        <v>2002</v>
      </c>
      <c r="B14" s="50">
        <v>1045</v>
      </c>
      <c r="C14" s="50">
        <v>287</v>
      </c>
      <c r="D14" s="3">
        <f t="shared" si="0"/>
        <v>1332</v>
      </c>
      <c r="G14" s="29" t="s">
        <v>145</v>
      </c>
      <c r="L14" s="29" t="s">
        <v>146</v>
      </c>
    </row>
    <row r="15" spans="1:15" x14ac:dyDescent="0.25">
      <c r="A15" s="49">
        <v>2003</v>
      </c>
      <c r="B15" s="50">
        <v>1037</v>
      </c>
      <c r="C15" s="50">
        <v>283</v>
      </c>
      <c r="D15" s="3">
        <f t="shared" si="0"/>
        <v>1320</v>
      </c>
      <c r="G15" s="48">
        <v>2008</v>
      </c>
      <c r="H15" s="50">
        <v>1057</v>
      </c>
      <c r="I15" s="50">
        <v>294</v>
      </c>
      <c r="J15" s="50">
        <v>1345</v>
      </c>
      <c r="L15" s="48">
        <v>2008</v>
      </c>
      <c r="M15" s="50">
        <v>1069</v>
      </c>
      <c r="N15" s="50">
        <v>264</v>
      </c>
      <c r="O15" s="50">
        <f>SUM(M15:N15)</f>
        <v>1333</v>
      </c>
    </row>
    <row r="16" spans="1:15" x14ac:dyDescent="0.25">
      <c r="A16" s="49">
        <v>2004</v>
      </c>
      <c r="B16" s="50">
        <v>1024</v>
      </c>
      <c r="C16" s="50">
        <v>296</v>
      </c>
      <c r="D16" s="3">
        <f t="shared" si="0"/>
        <v>1320</v>
      </c>
      <c r="G16" s="48">
        <v>2009</v>
      </c>
      <c r="H16" s="50">
        <v>1056</v>
      </c>
      <c r="I16" s="50">
        <v>322</v>
      </c>
      <c r="J16" s="50">
        <v>1378</v>
      </c>
      <c r="L16" s="48">
        <v>2009</v>
      </c>
      <c r="M16" s="50">
        <v>1081</v>
      </c>
      <c r="N16" s="50">
        <v>279</v>
      </c>
      <c r="O16" s="50">
        <f>SUM(M16:N16)</f>
        <v>1360</v>
      </c>
    </row>
    <row r="17" spans="1:15" x14ac:dyDescent="0.25">
      <c r="A17" s="49">
        <v>2005</v>
      </c>
      <c r="B17" s="50">
        <v>1055</v>
      </c>
      <c r="C17" s="50">
        <v>287</v>
      </c>
      <c r="D17" s="3">
        <f t="shared" si="0"/>
        <v>1342</v>
      </c>
      <c r="G17" s="48">
        <v>2010</v>
      </c>
      <c r="H17" s="50">
        <v>1076</v>
      </c>
      <c r="I17" s="50">
        <v>289</v>
      </c>
      <c r="J17" s="50">
        <v>1374</v>
      </c>
      <c r="L17" s="48">
        <v>2010</v>
      </c>
      <c r="M17" s="50">
        <v>1095</v>
      </c>
      <c r="N17" s="50">
        <v>241</v>
      </c>
      <c r="O17" s="50">
        <f t="shared" ref="O17:O19" si="1">SUM(M17:N17)</f>
        <v>1336</v>
      </c>
    </row>
    <row r="18" spans="1:15" x14ac:dyDescent="0.25">
      <c r="A18" s="49">
        <v>2006</v>
      </c>
      <c r="B18" s="50">
        <v>1017</v>
      </c>
      <c r="C18" s="50">
        <v>273</v>
      </c>
      <c r="D18" s="3">
        <f t="shared" si="0"/>
        <v>1290</v>
      </c>
      <c r="G18" s="48">
        <v>2011</v>
      </c>
      <c r="H18" s="50">
        <v>1007</v>
      </c>
      <c r="I18" s="50">
        <v>316</v>
      </c>
      <c r="J18" s="50">
        <v>1323</v>
      </c>
      <c r="L18" s="48">
        <v>2011</v>
      </c>
      <c r="M18" s="50">
        <v>1026</v>
      </c>
      <c r="N18" s="50">
        <v>269</v>
      </c>
      <c r="O18" s="50">
        <f t="shared" si="1"/>
        <v>1295</v>
      </c>
    </row>
    <row r="19" spans="1:15" x14ac:dyDescent="0.25">
      <c r="A19" s="49">
        <v>2007</v>
      </c>
      <c r="B19" s="50">
        <v>1044</v>
      </c>
      <c r="C19" s="50">
        <v>288</v>
      </c>
      <c r="D19" s="3">
        <f t="shared" si="0"/>
        <v>1332</v>
      </c>
      <c r="G19" s="48">
        <v>2012</v>
      </c>
      <c r="H19" s="50"/>
      <c r="I19" s="50"/>
      <c r="J19" s="50"/>
      <c r="L19" s="48">
        <v>2012</v>
      </c>
      <c r="M19" s="50">
        <v>992</v>
      </c>
      <c r="N19" s="50">
        <v>264</v>
      </c>
      <c r="O19" s="50">
        <f t="shared" si="1"/>
        <v>1256</v>
      </c>
    </row>
    <row r="20" spans="1:15" x14ac:dyDescent="0.25">
      <c r="A20" s="48">
        <v>2008</v>
      </c>
      <c r="B20" s="50">
        <v>1069</v>
      </c>
      <c r="C20" s="50">
        <v>264</v>
      </c>
      <c r="D20" s="50">
        <v>1333</v>
      </c>
      <c r="G20" s="56" t="s">
        <v>152</v>
      </c>
    </row>
    <row r="21" spans="1:15" x14ac:dyDescent="0.25">
      <c r="A21" s="48">
        <v>2009</v>
      </c>
      <c r="B21" s="50">
        <v>1081</v>
      </c>
      <c r="C21" s="50">
        <v>279</v>
      </c>
      <c r="D21" s="50">
        <v>1360</v>
      </c>
      <c r="E21" s="62"/>
      <c r="G21" s="56" t="s">
        <v>153</v>
      </c>
    </row>
    <row r="22" spans="1:15" x14ac:dyDescent="0.25">
      <c r="A22" s="48">
        <v>2010</v>
      </c>
      <c r="B22" s="50">
        <v>1095</v>
      </c>
      <c r="C22" s="50">
        <v>241</v>
      </c>
      <c r="D22" s="50">
        <v>1336</v>
      </c>
      <c r="G22" s="56" t="s">
        <v>154</v>
      </c>
    </row>
    <row r="23" spans="1:15" x14ac:dyDescent="0.25">
      <c r="A23" s="48">
        <v>2011</v>
      </c>
      <c r="B23" s="50">
        <v>1026</v>
      </c>
      <c r="C23" s="50">
        <v>269</v>
      </c>
      <c r="D23" s="50">
        <v>1044</v>
      </c>
    </row>
    <row r="24" spans="1:15" x14ac:dyDescent="0.25">
      <c r="A24" s="48">
        <v>2012</v>
      </c>
      <c r="B24" s="50">
        <v>992</v>
      </c>
      <c r="C24" s="50">
        <v>264</v>
      </c>
      <c r="D24" s="50">
        <v>1256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D59"/>
  <sheetViews>
    <sheetView tabSelected="1" topLeftCell="A25" zoomScaleNormal="100" workbookViewId="0">
      <selection activeCell="D46" sqref="D46"/>
    </sheetView>
  </sheetViews>
  <sheetFormatPr defaultRowHeight="15" x14ac:dyDescent="0.25"/>
  <cols>
    <col min="2" max="2" width="9.5703125" customWidth="1"/>
    <col min="3" max="3" width="15.140625" customWidth="1"/>
    <col min="4" max="4" width="11.85546875" customWidth="1"/>
  </cols>
  <sheetData>
    <row r="35" spans="1:4" ht="15.75" customHeight="1" x14ac:dyDescent="0.25">
      <c r="A35" t="s">
        <v>159</v>
      </c>
      <c r="B35" t="s">
        <v>160</v>
      </c>
      <c r="C35" t="s">
        <v>161</v>
      </c>
      <c r="D35" t="s">
        <v>164</v>
      </c>
    </row>
    <row r="36" spans="1:4" ht="15.75" customHeight="1" x14ac:dyDescent="0.25">
      <c r="B36" t="s">
        <v>162</v>
      </c>
      <c r="C36" t="s">
        <v>163</v>
      </c>
      <c r="D36" t="s">
        <v>165</v>
      </c>
    </row>
    <row r="37" spans="1:4" x14ac:dyDescent="0.25">
      <c r="A37">
        <v>1980</v>
      </c>
      <c r="B37">
        <v>1549</v>
      </c>
      <c r="C37">
        <v>227.22</v>
      </c>
      <c r="D37" s="24">
        <f>B37/C37</f>
        <v>6.8171815861279814</v>
      </c>
    </row>
    <row r="38" spans="1:4" ht="15" customHeight="1" x14ac:dyDescent="0.25">
      <c r="A38">
        <v>1985</v>
      </c>
      <c r="B38">
        <v>1546</v>
      </c>
      <c r="C38">
        <v>237.92</v>
      </c>
      <c r="D38" s="24">
        <f t="shared" ref="D38:D59" si="0">B38/C38</f>
        <v>6.4979825151311372</v>
      </c>
    </row>
    <row r="39" spans="1:4" x14ac:dyDescent="0.25">
      <c r="A39">
        <v>1990</v>
      </c>
      <c r="B39">
        <v>1501</v>
      </c>
      <c r="C39">
        <v>249.62</v>
      </c>
      <c r="D39" s="24">
        <f t="shared" si="0"/>
        <v>6.0131399727585926</v>
      </c>
    </row>
    <row r="40" spans="1:4" x14ac:dyDescent="0.25">
      <c r="A40">
        <v>1993</v>
      </c>
      <c r="B40">
        <v>1581</v>
      </c>
      <c r="C40">
        <v>259.92</v>
      </c>
      <c r="D40" s="24">
        <f t="shared" si="0"/>
        <v>6.0826408125577096</v>
      </c>
    </row>
    <row r="41" spans="1:4" x14ac:dyDescent="0.25">
      <c r="A41">
        <f t="shared" ref="A41:A59" si="1">A40+1</f>
        <v>1994</v>
      </c>
      <c r="B41">
        <v>1405</v>
      </c>
      <c r="C41">
        <v>263.13</v>
      </c>
      <c r="D41" s="24">
        <f t="shared" si="0"/>
        <v>5.3395659939953637</v>
      </c>
    </row>
    <row r="42" spans="1:4" x14ac:dyDescent="0.25">
      <c r="A42">
        <f t="shared" si="1"/>
        <v>1995</v>
      </c>
      <c r="B42">
        <v>1324</v>
      </c>
      <c r="C42">
        <v>266.27999999999997</v>
      </c>
      <c r="D42" s="24">
        <f t="shared" si="0"/>
        <v>4.9722097040709032</v>
      </c>
    </row>
    <row r="43" spans="1:4" x14ac:dyDescent="0.25">
      <c r="A43">
        <f t="shared" si="1"/>
        <v>1996</v>
      </c>
      <c r="B43">
        <v>1324</v>
      </c>
      <c r="C43">
        <v>269.39</v>
      </c>
      <c r="D43" s="24">
        <f t="shared" si="0"/>
        <v>4.9148075281190842</v>
      </c>
    </row>
    <row r="44" spans="1:4" x14ac:dyDescent="0.25">
      <c r="A44">
        <f t="shared" si="1"/>
        <v>1997</v>
      </c>
      <c r="B44">
        <v>1174</v>
      </c>
      <c r="C44">
        <v>272.64999999999998</v>
      </c>
      <c r="D44" s="24">
        <f t="shared" si="0"/>
        <v>4.3058866678892356</v>
      </c>
    </row>
    <row r="45" spans="1:4" x14ac:dyDescent="0.25">
      <c r="A45">
        <f t="shared" si="1"/>
        <v>1998</v>
      </c>
      <c r="B45">
        <v>1078</v>
      </c>
      <c r="C45">
        <v>275.85000000000002</v>
      </c>
      <c r="D45" s="24">
        <f t="shared" si="0"/>
        <v>3.9079209715425045</v>
      </c>
    </row>
    <row r="46" spans="1:4" x14ac:dyDescent="0.25">
      <c r="A46">
        <f t="shared" si="1"/>
        <v>1999</v>
      </c>
      <c r="B46">
        <v>974</v>
      </c>
      <c r="C46">
        <v>279.04000000000002</v>
      </c>
      <c r="D46" s="24">
        <f t="shared" si="0"/>
        <v>3.4905389908256876</v>
      </c>
    </row>
    <row r="47" spans="1:4" x14ac:dyDescent="0.25">
      <c r="A47">
        <f t="shared" si="1"/>
        <v>2000</v>
      </c>
      <c r="B47">
        <v>1015</v>
      </c>
      <c r="C47">
        <v>282.16000000000003</v>
      </c>
      <c r="D47" s="24">
        <f t="shared" si="0"/>
        <v>3.5972497873546923</v>
      </c>
    </row>
    <row r="48" spans="1:4" x14ac:dyDescent="0.25">
      <c r="A48">
        <f t="shared" si="1"/>
        <v>2001</v>
      </c>
      <c r="B48">
        <v>1034</v>
      </c>
      <c r="C48">
        <v>284.97000000000003</v>
      </c>
      <c r="D48" s="24">
        <f t="shared" si="0"/>
        <v>3.6284521177667823</v>
      </c>
    </row>
    <row r="49" spans="1:4" x14ac:dyDescent="0.25">
      <c r="A49">
        <f t="shared" si="1"/>
        <v>2002</v>
      </c>
      <c r="B49">
        <v>1045</v>
      </c>
      <c r="C49">
        <v>287.63</v>
      </c>
      <c r="D49" s="24">
        <f t="shared" si="0"/>
        <v>3.6331397976567117</v>
      </c>
    </row>
    <row r="50" spans="1:4" x14ac:dyDescent="0.25">
      <c r="A50">
        <f t="shared" si="1"/>
        <v>2003</v>
      </c>
      <c r="B50">
        <v>1037</v>
      </c>
      <c r="C50">
        <v>290.11</v>
      </c>
      <c r="D50" s="24">
        <f t="shared" si="0"/>
        <v>3.5745062217779462</v>
      </c>
    </row>
    <row r="51" spans="1:4" x14ac:dyDescent="0.25">
      <c r="A51">
        <f t="shared" si="1"/>
        <v>2004</v>
      </c>
      <c r="B51">
        <v>1024</v>
      </c>
      <c r="C51">
        <v>292.81</v>
      </c>
      <c r="D51" s="24">
        <f t="shared" si="0"/>
        <v>3.4971483214371095</v>
      </c>
    </row>
    <row r="52" spans="1:4" x14ac:dyDescent="0.25">
      <c r="A52">
        <f t="shared" si="1"/>
        <v>2005</v>
      </c>
      <c r="B52">
        <v>1055</v>
      </c>
      <c r="C52">
        <v>295.52</v>
      </c>
      <c r="D52" s="24">
        <f t="shared" si="0"/>
        <v>3.5699783432593395</v>
      </c>
    </row>
    <row r="53" spans="1:4" x14ac:dyDescent="0.25">
      <c r="A53">
        <f t="shared" si="1"/>
        <v>2006</v>
      </c>
      <c r="B53">
        <v>1017</v>
      </c>
      <c r="C53">
        <v>298.38</v>
      </c>
      <c r="D53" s="24">
        <f t="shared" si="0"/>
        <v>3.4084053891011461</v>
      </c>
    </row>
    <row r="54" spans="1:4" x14ac:dyDescent="0.25">
      <c r="A54">
        <f t="shared" si="1"/>
        <v>2007</v>
      </c>
      <c r="B54">
        <v>1044</v>
      </c>
      <c r="C54">
        <v>301.23</v>
      </c>
      <c r="D54" s="24">
        <f t="shared" si="0"/>
        <v>3.4657902599342694</v>
      </c>
    </row>
    <row r="55" spans="1:4" x14ac:dyDescent="0.25">
      <c r="A55">
        <f t="shared" si="1"/>
        <v>2008</v>
      </c>
      <c r="B55">
        <v>1069</v>
      </c>
      <c r="C55">
        <v>304.08999999999997</v>
      </c>
      <c r="D55" s="24">
        <f t="shared" si="0"/>
        <v>3.5154066230392322</v>
      </c>
    </row>
    <row r="56" spans="1:4" x14ac:dyDescent="0.25">
      <c r="A56">
        <f t="shared" si="1"/>
        <v>2009</v>
      </c>
      <c r="B56">
        <v>1081</v>
      </c>
      <c r="C56">
        <v>306.77</v>
      </c>
      <c r="D56" s="24">
        <f t="shared" si="0"/>
        <v>3.5238126283534896</v>
      </c>
    </row>
    <row r="57" spans="1:4" x14ac:dyDescent="0.25">
      <c r="A57">
        <f t="shared" si="1"/>
        <v>2010</v>
      </c>
      <c r="B57">
        <v>1095</v>
      </c>
      <c r="C57">
        <v>309.33</v>
      </c>
      <c r="D57" s="24">
        <f t="shared" si="0"/>
        <v>3.5399088352245176</v>
      </c>
    </row>
    <row r="58" spans="1:4" x14ac:dyDescent="0.25">
      <c r="A58">
        <f t="shared" si="1"/>
        <v>2011</v>
      </c>
      <c r="B58">
        <v>1026</v>
      </c>
      <c r="C58">
        <v>311.58999999999997</v>
      </c>
      <c r="D58" s="24">
        <f t="shared" si="0"/>
        <v>3.2927886004043776</v>
      </c>
    </row>
    <row r="59" spans="1:4" x14ac:dyDescent="0.25">
      <c r="A59">
        <f t="shared" si="1"/>
        <v>2012</v>
      </c>
      <c r="B59">
        <v>992</v>
      </c>
      <c r="C59">
        <v>313.91000000000003</v>
      </c>
      <c r="D59" s="24">
        <f t="shared" si="0"/>
        <v>3.1601414418145324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2008</vt:lpstr>
      <vt:lpstr>2009</vt:lpstr>
      <vt:lpstr>2010</vt:lpstr>
      <vt:lpstr>2011</vt:lpstr>
      <vt:lpstr>2012</vt:lpstr>
      <vt:lpstr>1980 thru 2012</vt:lpstr>
      <vt:lpstr>CHART</vt:lpstr>
    </vt:vector>
  </TitlesOfParts>
  <Company>Partners HealthCare System,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Fay</cp:lastModifiedBy>
  <cp:lastPrinted>2014-09-06T17:58:12Z</cp:lastPrinted>
  <dcterms:created xsi:type="dcterms:W3CDTF">2014-03-14T11:59:27Z</dcterms:created>
  <dcterms:modified xsi:type="dcterms:W3CDTF">2014-09-06T18:12:26Z</dcterms:modified>
</cp:coreProperties>
</file>